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townofnorthlake.sharepoint.com/sites/4.Finance/Shared Documents/Utility Billing/20. Utility Bill Calculator/"/>
    </mc:Choice>
  </mc:AlternateContent>
  <xr:revisionPtr revIDLastSave="152" documentId="8_{5A2B2B91-811E-4C89-ABBB-0D18FC2F91DB}" xr6:coauthVersionLast="47" xr6:coauthVersionMax="47" xr10:uidLastSave="{A087253A-DA79-444A-8DAC-2ABFEE702149}"/>
  <workbookProtection workbookAlgorithmName="SHA-512" workbookHashValue="UQULPDgJ+5GOl9nCpSY8Ori8uDmj+VPZUGyZXZgab4HBGPG4tWmvOG43fJMyH/Jjxg0WLu1rEPK0uaQp/TXilA==" workbookSaltValue="aeHOKyAKcDvlgD0bWRjQIQ==" workbookSpinCount="100000" lockStructure="1"/>
  <bookViews>
    <workbookView xWindow="-120" yWindow="-120" windowWidth="29040" windowHeight="15720" xr2:uid="{264A011E-1A70-4802-81A7-FAA109B3C2DD}"/>
  </bookViews>
  <sheets>
    <sheet name="Bill Calculator &amp; Breakdown" sheetId="2" r:id="rId1"/>
    <sheet name="Code Sheet - Rates" sheetId="4" r:id="rId2"/>
    <sheet name="Code Sheet - Customer Questions"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1" i="2" l="1"/>
  <c r="C43" i="2" l="1"/>
  <c r="C42" i="2"/>
  <c r="C44" i="2" l="1"/>
  <c r="L3" i="4" l="1"/>
  <c r="L4" i="4"/>
  <c r="L5" i="4"/>
  <c r="L6" i="4"/>
  <c r="L7" i="4"/>
  <c r="L8" i="4"/>
  <c r="L9" i="4"/>
  <c r="E49" i="2"/>
  <c r="C50" i="2"/>
  <c r="E50" i="2" s="1"/>
  <c r="E41" i="2"/>
  <c r="C47" i="2" a="1"/>
  <c r="C47" i="2" s="1"/>
  <c r="F49" i="2" l="1"/>
  <c r="E47" i="2"/>
  <c r="E46" i="2"/>
  <c r="M28" i="4"/>
  <c r="L28" i="4"/>
  <c r="K28" i="4"/>
  <c r="J28" i="4"/>
  <c r="I28" i="4"/>
  <c r="M27" i="4"/>
  <c r="L27" i="4"/>
  <c r="K27" i="4"/>
  <c r="J27" i="4"/>
  <c r="I27" i="4"/>
  <c r="M26" i="4"/>
  <c r="L26" i="4"/>
  <c r="K26" i="4"/>
  <c r="J26" i="4"/>
  <c r="I26" i="4"/>
  <c r="M25" i="4"/>
  <c r="L25" i="4"/>
  <c r="K25" i="4"/>
  <c r="J25" i="4"/>
  <c r="I25" i="4"/>
  <c r="M24" i="4"/>
  <c r="L24" i="4"/>
  <c r="K24" i="4"/>
  <c r="J24" i="4"/>
  <c r="I24" i="4"/>
  <c r="M23" i="4"/>
  <c r="L23" i="4"/>
  <c r="K23" i="4"/>
  <c r="J23" i="4"/>
  <c r="I23" i="4"/>
  <c r="M22" i="4"/>
  <c r="L22" i="4"/>
  <c r="K22" i="4"/>
  <c r="J22" i="4"/>
  <c r="I22" i="4"/>
  <c r="E17" i="2" l="1"/>
  <c r="F47" i="2" l="1"/>
  <c r="M31" i="4"/>
  <c r="L31" i="4"/>
  <c r="K31" i="4"/>
  <c r="J31" i="4"/>
  <c r="I31" i="4"/>
  <c r="B44" i="2"/>
  <c r="B43" i="2"/>
  <c r="B42" i="2"/>
  <c r="M18" i="4"/>
  <c r="M17" i="4"/>
  <c r="M16" i="4"/>
  <c r="L18" i="4"/>
  <c r="L17" i="4"/>
  <c r="L16" i="4"/>
  <c r="K14" i="4"/>
  <c r="K13" i="4"/>
  <c r="K12" i="4"/>
  <c r="J14" i="4"/>
  <c r="J13" i="4"/>
  <c r="J12" i="4"/>
  <c r="I14" i="4"/>
  <c r="I13" i="4"/>
  <c r="I12" i="4"/>
  <c r="F41" i="2"/>
  <c r="I4" i="4"/>
  <c r="J4" i="4"/>
  <c r="K4" i="4"/>
  <c r="M4" i="4"/>
  <c r="I5" i="4"/>
  <c r="J5" i="4"/>
  <c r="K5" i="4"/>
  <c r="M5" i="4"/>
  <c r="I6" i="4"/>
  <c r="J6" i="4"/>
  <c r="K6" i="4"/>
  <c r="M6" i="4"/>
  <c r="I7" i="4"/>
  <c r="J7" i="4"/>
  <c r="K7" i="4"/>
  <c r="M7" i="4"/>
  <c r="I8" i="4"/>
  <c r="J8" i="4"/>
  <c r="K8" i="4"/>
  <c r="M8" i="4"/>
  <c r="I9" i="4"/>
  <c r="J9" i="4"/>
  <c r="K9" i="4"/>
  <c r="M9" i="4"/>
  <c r="M3" i="4"/>
  <c r="K3" i="4"/>
  <c r="J3" i="4"/>
  <c r="I3" i="4"/>
  <c r="F46" i="2"/>
  <c r="B100" i="2" l="1"/>
  <c r="E44" i="2"/>
  <c r="F44" i="2" s="1"/>
  <c r="E43" i="2"/>
  <c r="F43" i="2" s="1"/>
  <c r="E42" i="2"/>
  <c r="F42" i="2" s="1"/>
  <c r="F50" i="2"/>
  <c r="F48" i="2" s="1"/>
  <c r="F45" i="2"/>
  <c r="F40" i="2" l="1"/>
  <c r="F5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<sst xmlns="http://schemas.openxmlformats.org/spreadsheetml/2006/main" count="173" uniqueCount="69">
  <si>
    <t>Sewer</t>
  </si>
  <si>
    <t>Water</t>
  </si>
  <si>
    <t>Rate</t>
  </si>
  <si>
    <t>Utility</t>
  </si>
  <si>
    <t>Amount Billed</t>
  </si>
  <si>
    <t>All Gallons</t>
  </si>
  <si>
    <t>INPUT DATA FOR CALUCALTOR</t>
  </si>
  <si>
    <t>Water Usage*</t>
  </si>
  <si>
    <t>Winter Average Cons*</t>
  </si>
  <si>
    <t>Town of Northlake</t>
  </si>
  <si>
    <t>Utility Bill Calculator</t>
  </si>
  <si>
    <t>Customer Class</t>
  </si>
  <si>
    <t>Meter Size</t>
  </si>
  <si>
    <t>Customer Type</t>
  </si>
  <si>
    <t>Have Town Sewer Service?</t>
  </si>
  <si>
    <t>Have Town Trash Service?</t>
  </si>
  <si>
    <t>Inside or Outside Town Limits?</t>
  </si>
  <si>
    <t>Residential</t>
  </si>
  <si>
    <t>Irrigation</t>
  </si>
  <si>
    <t>Town Limits</t>
  </si>
  <si>
    <t>Inside</t>
  </si>
  <si>
    <t>Outside</t>
  </si>
  <si>
    <t>Yes</t>
  </si>
  <si>
    <t>No</t>
  </si>
  <si>
    <t>1"</t>
  </si>
  <si>
    <t>1 1/2"</t>
  </si>
  <si>
    <t>2"</t>
  </si>
  <si>
    <t>3"</t>
  </si>
  <si>
    <t>4"</t>
  </si>
  <si>
    <t>6"</t>
  </si>
  <si>
    <t>Sewer Service</t>
  </si>
  <si>
    <t>Trash Service</t>
  </si>
  <si>
    <t>Number of Cans</t>
  </si>
  <si>
    <t>Amount</t>
  </si>
  <si>
    <t>0-5,000 gallons</t>
  </si>
  <si>
    <t>5,001-15,000 gallons</t>
  </si>
  <si>
    <t>15,001+ gallons</t>
  </si>
  <si>
    <t>Base Service Charge</t>
  </si>
  <si>
    <t>Builder</t>
  </si>
  <si>
    <t>Multifamily</t>
  </si>
  <si>
    <t>Commercial</t>
  </si>
  <si>
    <t>3/4" or smaller</t>
  </si>
  <si>
    <t>-</t>
  </si>
  <si>
    <t>0-15,000 Gallons</t>
  </si>
  <si>
    <t>15,001-30,000 Gallons</t>
  </si>
  <si>
    <t>30,001+ Gallons</t>
  </si>
  <si>
    <t>Water &amp; Wastewater Service Base Meter Charge- Outside</t>
  </si>
  <si>
    <t>Number of Extra Carts</t>
  </si>
  <si>
    <t>Number of Trash/Recycle Carts</t>
  </si>
  <si>
    <t>CareFlite</t>
  </si>
  <si>
    <t>Minimum Charge</t>
  </si>
  <si>
    <t xml:space="preserve">Calculator Instructions: </t>
  </si>
  <si>
    <t>Wastewater Volumetric Rates per 1,000 Gallons - Inside</t>
  </si>
  <si>
    <t>Water Volumetric Rates per 1,000 Gallons - Inside</t>
  </si>
  <si>
    <t>Water Volumetric Rates per 1,000 Gallons - Outside</t>
  </si>
  <si>
    <t>Wastewater Volumetric Rates per 1,000 Gallons - Outside</t>
  </si>
  <si>
    <t xml:space="preserve">To calculate your bill, enter in the information requested in the billing calcualtor below. Green cells contain drop down lists with pre-populated information. Yellow cells will require you to manually enter data based on your utility bill or your own  knowledge. </t>
  </si>
  <si>
    <t>Total*</t>
  </si>
  <si>
    <t xml:space="preserve">* Input water usage and winter average from bill into yellow boxes to perform calculation. If you are unsure about your winter average, then input your total sewer consumption, which will be the same as your total water consumption. </t>
  </si>
  <si>
    <t>Garbage &amp; Recycling</t>
  </si>
  <si>
    <t>Water Service Base Meter Charge- Inside</t>
  </si>
  <si>
    <t>Wastewater Service Base Meter Charge- Inside</t>
  </si>
  <si>
    <t>Wastewater Service Base Meter Charge- Outside</t>
  </si>
  <si>
    <t xml:space="preserve">This form has been created to communiate the estimated billing impacts related to the adopted water and wastewater rates effects as of the January 2025 bill. This calculator only presents an estimate and should not be used to pay your monthly utility bill. Please pay your utility bill according to your monthly bill or statement(s) your recieve directly from the Town of Northlake. Please do not rely on this form in calcualting your bill for payment, as all charges shown are subject to change with Council action. </t>
  </si>
  <si>
    <t>n</t>
  </si>
  <si>
    <t xml:space="preserve">* The calculated total may differ from your actual bill for new accounts without a winter average, due to rounding, or fees or penalties not accounted for. </t>
  </si>
  <si>
    <t>This bill calculator will help customers determine water and wastewater charges using the adopted rates effective the January 2026 bill. The form below is pre-populated with the Town's average Residential user with 10,000 gallons of water and 8,000 gallons in the winter average. If you have any questions about the rates or this form, please contact Northlake Town Hall at (940) 648-3290 or via email at utilitybilling@town.northlake.tx.us.</t>
  </si>
  <si>
    <t>Have MASA?</t>
  </si>
  <si>
    <t>MASA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</si>
</sst>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quot;$&quot;#,##0.00"/>
    <numFmt numFmtId="165" formatCode="0."/>
  </numFmts>
  <fonts count="1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i/>
      <sz val="10"/>
      <color theme="1"/>
      <name val="Calibri"/>
      <family val="2"/>
      <scheme val="minor"/>
    </font>
    <font>
      <sz val="11"/>
      <color theme="0"/>
      <name val="Calibri"/>
      <family val="2"/>
      <scheme val="minor"/>
    </font>
    <font>
      <sz val="11"/>
      <name val="Calibri"/>
      <family val="2"/>
      <scheme val="minor"/>
    </font>
    <font>
      <sz val="11"/>
      <color rgb="FF444444"/>
      <name val="Calibri"/>
      <family val="2"/>
      <scheme val="minor"/>
    </font>
    <font>
      <b/>
      <sz val="12"/>
      <color rgb="FFFAFAFA"/>
      <name val="Lato"/>
      <family val="2"/>
    </font>
    <font>
      <sz val="12"/>
      <color rgb="FF121E38"/>
      <name val="Lato"/>
      <family val="2"/>
    </font>
    <font>
      <b/>
      <sz val="12"/>
      <color rgb="FF121E38"/>
      <name val="Lato"/>
      <family val="2"/>
    </font>
    <font>
      <sz val="11"/>
      <color theme="1" tint="0.249977111117893"/>
      <name val="Calibri"/>
      <family val="2"/>
      <scheme val="minor"/>
    </font>
    <font>
      <b/>
      <sz val="11"/>
      <color rgb="FFFF0000"/>
      <name val="Calibri"/>
      <family val="2"/>
      <scheme val="minor"/>
    </font>
    <font>
      <b/>
      <sz val="28"/>
      <color rgb="FF121E38"/>
      <name val="Gill Sans MT"/>
      <family val="2"/>
    </font>
    <font>
      <sz val="16"/>
      <color rgb="FF121E38"/>
      <name val="Gill Sans MT"/>
      <family val="2"/>
    </font>
    <font>
      <b/>
      <i/>
      <sz val="11"/>
      <color theme="1"/>
      <name val="Calibri"/>
      <family val="2"/>
      <scheme val="minor"/>
    </font>
  </fonts>
  <fills count="12">
    <fill>
      <patternFill patternType="none"/>
    </fill>
    <fill>
      <patternFill patternType="gray125"/>
    </fill>
    <fill>
      <patternFill patternType="solid">
        <fgColor theme="2"/>
        <bgColor indexed="64"/>
      </patternFill>
    </fill>
    <fill>
      <patternFill patternType="solid">
        <fgColor theme="4" tint="-0.249977111117893"/>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AFAFA"/>
        <bgColor indexed="64"/>
      </patternFill>
    </fill>
    <fill>
      <patternFill patternType="solid">
        <fgColor rgb="FF0F4B50"/>
        <bgColor indexed="64"/>
      </patternFill>
    </fill>
    <fill>
      <patternFill patternType="solid">
        <fgColor rgb="FFE5E5E5"/>
        <bgColor indexed="64"/>
      </patternFill>
    </fill>
    <fill>
      <patternFill patternType="solid">
        <fgColor theme="7" tint="0.79998168889431442"/>
        <bgColor indexed="64"/>
      </patternFill>
    </fill>
    <fill>
      <patternFill patternType="solid">
        <fgColor theme="0"/>
        <bgColor indexed="64"/>
      </patternFill>
    </fill>
  </fills>
  <borders count="15">
    <border>
      <left/>
      <right/>
      <top/>
      <bottom/>
      <diagonal/>
    </border>
    <border>
      <left/>
      <right/>
      <top style="medium">
        <color auto="1"/>
      </top>
      <bottom style="medium">
        <color auto="1"/>
      </bottom>
      <diagonal/>
    </border>
    <border>
      <left/>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333333"/>
      </left>
      <right style="medium">
        <color rgb="FF333333"/>
      </right>
      <top style="medium">
        <color rgb="FF333333"/>
      </top>
      <bottom style="medium">
        <color rgb="FF333333"/>
      </bottom>
      <diagonal/>
    </border>
    <border>
      <left/>
      <right/>
      <top style="thin">
        <color auto="1"/>
      </top>
      <bottom style="medium">
        <color auto="1"/>
      </bottom>
      <diagonal/>
    </border>
  </borders>
  <cellStyleXfs count="2">
    <xf numFmtId="0" fontId="0" fillId="0" borderId="0"/>
    <xf numFmtId="44" fontId="1" fillId="0" borderId="0" applyFont="0" applyFill="0" applyBorder="0" applyAlignment="0" applyProtection="0"/>
  </cellStyleXfs>
  <cellXfs count="88">
    <xf numFmtId="0" fontId="0" fillId="0" borderId="0" xfId="0"/>
    <xf numFmtId="0" fontId="10" fillId="7" borderId="13" xfId="0" applyFont="1" applyFill="1" applyBorder="1" applyAlignment="1">
      <alignment horizontal="center" vertical="top" wrapText="1"/>
    </xf>
    <xf numFmtId="8" fontId="10" fillId="7" borderId="13" xfId="0" applyNumberFormat="1" applyFont="1" applyFill="1" applyBorder="1" applyAlignment="1">
      <alignment horizontal="center" vertical="top" wrapText="1"/>
    </xf>
    <xf numFmtId="8" fontId="10" fillId="9" borderId="13" xfId="0" applyNumberFormat="1" applyFont="1" applyFill="1" applyBorder="1" applyAlignment="1">
      <alignment horizontal="center" vertical="top" wrapText="1"/>
    </xf>
    <xf numFmtId="0" fontId="11" fillId="7" borderId="13" xfId="0" applyFont="1" applyFill="1" applyBorder="1" applyAlignment="1">
      <alignment horizontal="center" vertical="top"/>
    </xf>
    <xf numFmtId="0" fontId="11" fillId="9" borderId="13" xfId="0" applyFont="1" applyFill="1" applyBorder="1" applyAlignment="1">
      <alignment horizontal="left" vertical="top"/>
    </xf>
    <xf numFmtId="0" fontId="10" fillId="7" borderId="13" xfId="0" applyFont="1" applyFill="1" applyBorder="1" applyAlignment="1">
      <alignment horizontal="right" vertical="top"/>
    </xf>
    <xf numFmtId="0" fontId="10" fillId="9" borderId="13" xfId="0" applyFont="1" applyFill="1" applyBorder="1" applyAlignment="1">
      <alignment horizontal="right" vertical="top"/>
    </xf>
    <xf numFmtId="0" fontId="10" fillId="9" borderId="13" xfId="0" applyFont="1" applyFill="1" applyBorder="1" applyAlignment="1">
      <alignment horizontal="center" vertical="top" wrapText="1"/>
    </xf>
    <xf numFmtId="0" fontId="10" fillId="9" borderId="13" xfId="0" applyFont="1" applyFill="1" applyBorder="1" applyAlignment="1">
      <alignment horizontal="left" vertical="top"/>
    </xf>
    <xf numFmtId="0" fontId="10" fillId="7" borderId="13" xfId="0" applyFont="1" applyFill="1" applyBorder="1" applyAlignment="1">
      <alignment horizontal="left" vertical="top"/>
    </xf>
    <xf numFmtId="0" fontId="9" fillId="8" borderId="9" xfId="0" applyFont="1" applyFill="1" applyBorder="1" applyAlignment="1">
      <alignment vertical="top"/>
    </xf>
    <xf numFmtId="8" fontId="10" fillId="11" borderId="13" xfId="0" applyNumberFormat="1" applyFont="1" applyFill="1" applyBorder="1" applyAlignment="1">
      <alignment horizontal="center" vertical="top" wrapText="1"/>
    </xf>
    <xf numFmtId="0" fontId="10" fillId="11" borderId="13" xfId="0" applyFont="1" applyFill="1" applyBorder="1" applyAlignment="1">
      <alignment horizontal="center" vertical="top" wrapText="1"/>
    </xf>
    <xf numFmtId="0" fontId="3" fillId="0" borderId="0" xfId="0" applyFont="1" applyProtection="1">
      <protection locked="0"/>
    </xf>
    <xf numFmtId="44" fontId="3" fillId="0" borderId="0" xfId="1" applyFont="1" applyAlignment="1" applyProtection="1">
      <alignment horizontal="left"/>
      <protection locked="0"/>
    </xf>
    <xf numFmtId="0" fontId="0" fillId="0" borderId="0" xfId="0" applyProtection="1">
      <protection locked="0"/>
    </xf>
    <xf numFmtId="0" fontId="3" fillId="0" borderId="7" xfId="0" applyFont="1" applyBorder="1" applyProtection="1">
      <protection locked="0"/>
    </xf>
    <xf numFmtId="44" fontId="3" fillId="0" borderId="7" xfId="1" applyFont="1" applyBorder="1" applyAlignment="1" applyProtection="1">
      <alignment horizontal="left"/>
      <protection locked="0"/>
    </xf>
    <xf numFmtId="0" fontId="0" fillId="0" borderId="7" xfId="0" applyBorder="1" applyProtection="1">
      <protection locked="0"/>
    </xf>
    <xf numFmtId="0" fontId="8" fillId="0" borderId="0" xfId="0" applyFont="1" applyAlignment="1" applyProtection="1">
      <alignment vertical="top" wrapText="1"/>
      <protection locked="0"/>
    </xf>
    <xf numFmtId="44" fontId="3" fillId="0" borderId="0" xfId="1" applyFont="1" applyFill="1" applyAlignment="1" applyProtection="1">
      <alignment horizontal="left"/>
      <protection locked="0"/>
    </xf>
    <xf numFmtId="0" fontId="2" fillId="0" borderId="0" xfId="0" applyFont="1" applyAlignment="1" applyProtection="1">
      <alignment horizontal="left"/>
      <protection locked="0"/>
    </xf>
    <xf numFmtId="0" fontId="7" fillId="5" borderId="8" xfId="0" applyFont="1" applyFill="1" applyBorder="1" applyAlignment="1" applyProtection="1">
      <alignment horizontal="right"/>
      <protection locked="0"/>
    </xf>
    <xf numFmtId="0" fontId="7" fillId="0" borderId="0" xfId="0" applyFont="1" applyAlignment="1" applyProtection="1">
      <alignment horizontal="right"/>
      <protection locked="0"/>
    </xf>
    <xf numFmtId="0" fontId="7" fillId="10" borderId="8" xfId="0" applyFont="1" applyFill="1" applyBorder="1" applyAlignment="1" applyProtection="1">
      <alignment horizontal="right"/>
      <protection locked="0"/>
    </xf>
    <xf numFmtId="0" fontId="5" fillId="0" borderId="0" xfId="0" applyFont="1" applyAlignment="1" applyProtection="1">
      <alignment vertical="top" wrapText="1"/>
      <protection locked="0"/>
    </xf>
    <xf numFmtId="164" fontId="0" fillId="0" borderId="0" xfId="0" applyNumberFormat="1" applyProtection="1">
      <protection locked="0"/>
    </xf>
    <xf numFmtId="0" fontId="5" fillId="0" borderId="0" xfId="0" applyFont="1" applyAlignment="1" applyProtection="1">
      <alignment horizontal="left" vertical="top" wrapText="1"/>
      <protection locked="0"/>
    </xf>
    <xf numFmtId="44" fontId="0" fillId="0" borderId="0" xfId="1" applyFont="1" applyAlignment="1" applyProtection="1">
      <alignment horizontal="left"/>
      <protection locked="0"/>
    </xf>
    <xf numFmtId="0" fontId="2" fillId="3" borderId="3" xfId="0" applyFont="1" applyFill="1" applyBorder="1" applyAlignment="1">
      <alignment horizontal="left"/>
    </xf>
    <xf numFmtId="44" fontId="2" fillId="3" borderId="1" xfId="1" applyFont="1" applyFill="1" applyBorder="1" applyAlignment="1" applyProtection="1">
      <alignment horizontal="center"/>
    </xf>
    <xf numFmtId="0" fontId="2" fillId="3" borderId="4" xfId="0" applyFont="1" applyFill="1" applyBorder="1" applyAlignment="1">
      <alignment horizontal="center"/>
    </xf>
    <xf numFmtId="0" fontId="3" fillId="6" borderId="2" xfId="0" applyFont="1" applyFill="1" applyBorder="1"/>
    <xf numFmtId="44" fontId="3" fillId="6" borderId="2" xfId="1" applyFont="1" applyFill="1" applyBorder="1" applyAlignment="1" applyProtection="1">
      <alignment horizontal="left"/>
    </xf>
    <xf numFmtId="164" fontId="3" fillId="6" borderId="2" xfId="1" applyNumberFormat="1" applyFont="1" applyFill="1" applyBorder="1" applyProtection="1"/>
    <xf numFmtId="0" fontId="0" fillId="0" borderId="0" xfId="0" applyAlignment="1">
      <alignment horizontal="left" indent="2"/>
    </xf>
    <xf numFmtId="164" fontId="0" fillId="0" borderId="0" xfId="1" applyNumberFormat="1" applyFont="1" applyAlignment="1" applyProtection="1">
      <alignment horizontal="center"/>
    </xf>
    <xf numFmtId="164" fontId="0" fillId="0" borderId="0" xfId="1" applyNumberFormat="1" applyFont="1" applyAlignment="1" applyProtection="1">
      <alignment horizontal="right"/>
    </xf>
    <xf numFmtId="0" fontId="3" fillId="6" borderId="6" xfId="0" applyFont="1" applyFill="1" applyBorder="1"/>
    <xf numFmtId="44" fontId="1" fillId="6" borderId="6" xfId="1" applyFont="1" applyFill="1" applyBorder="1" applyAlignment="1" applyProtection="1">
      <alignment horizontal="center"/>
    </xf>
    <xf numFmtId="164" fontId="3" fillId="6" borderId="6" xfId="1" applyNumberFormat="1" applyFont="1" applyFill="1" applyBorder="1" applyProtection="1"/>
    <xf numFmtId="164" fontId="1" fillId="0" borderId="0" xfId="1" applyNumberFormat="1" applyFont="1" applyBorder="1" applyProtection="1"/>
    <xf numFmtId="0" fontId="0" fillId="0" borderId="2" xfId="0" applyBorder="1" applyAlignment="1">
      <alignment horizontal="left" indent="2"/>
    </xf>
    <xf numFmtId="164" fontId="1" fillId="0" borderId="2" xfId="1" applyNumberFormat="1" applyFont="1" applyBorder="1" applyProtection="1"/>
    <xf numFmtId="44" fontId="3" fillId="6" borderId="6" xfId="1" applyFont="1" applyFill="1" applyBorder="1" applyAlignment="1" applyProtection="1">
      <alignment horizontal="left"/>
    </xf>
    <xf numFmtId="0" fontId="0" fillId="0" borderId="7" xfId="0" applyBorder="1" applyAlignment="1">
      <alignment horizontal="left" indent="2"/>
    </xf>
    <xf numFmtId="164" fontId="1" fillId="0" borderId="7" xfId="1" applyNumberFormat="1" applyFont="1" applyFill="1" applyBorder="1" applyAlignment="1" applyProtection="1">
      <alignment horizontal="center"/>
    </xf>
    <xf numFmtId="164" fontId="1" fillId="0" borderId="7" xfId="1" applyNumberFormat="1" applyFont="1" applyFill="1" applyBorder="1" applyProtection="1"/>
    <xf numFmtId="164" fontId="1" fillId="0" borderId="2" xfId="1" applyNumberFormat="1" applyFont="1" applyFill="1" applyBorder="1" applyAlignment="1" applyProtection="1">
      <alignment horizontal="center"/>
    </xf>
    <xf numFmtId="164" fontId="1" fillId="0" borderId="2" xfId="1" applyNumberFormat="1" applyFont="1" applyFill="1" applyBorder="1" applyProtection="1"/>
    <xf numFmtId="0" fontId="3" fillId="6" borderId="0" xfId="0" applyFont="1" applyFill="1" applyAlignment="1">
      <alignment horizontal="left"/>
    </xf>
    <xf numFmtId="44" fontId="3" fillId="6" borderId="0" xfId="1" applyFont="1" applyFill="1" applyAlignment="1" applyProtection="1">
      <alignment horizontal="left"/>
    </xf>
    <xf numFmtId="164" fontId="3" fillId="6" borderId="0" xfId="1" applyNumberFormat="1" applyFont="1" applyFill="1" applyProtection="1"/>
    <xf numFmtId="0" fontId="3" fillId="2" borderId="1" xfId="0" applyFont="1" applyFill="1" applyBorder="1" applyAlignment="1">
      <alignment horizontal="left"/>
    </xf>
    <xf numFmtId="44" fontId="3" fillId="2" borderId="1" xfId="1" applyFont="1" applyFill="1" applyBorder="1" applyAlignment="1" applyProtection="1">
      <alignment horizontal="left"/>
    </xf>
    <xf numFmtId="164" fontId="3" fillId="2" borderId="1" xfId="1" applyNumberFormat="1" applyFont="1" applyFill="1" applyBorder="1" applyProtection="1"/>
    <xf numFmtId="0" fontId="7" fillId="0" borderId="0" xfId="0" applyFont="1" applyAlignment="1">
      <alignment horizontal="left"/>
    </xf>
    <xf numFmtId="0" fontId="7" fillId="0" borderId="0" xfId="0" applyFont="1"/>
    <xf numFmtId="0" fontId="10" fillId="9" borderId="0" xfId="0" applyFont="1" applyFill="1" applyAlignment="1">
      <alignment horizontal="left" vertical="top"/>
    </xf>
    <xf numFmtId="0" fontId="10" fillId="9" borderId="0" xfId="0" applyFont="1" applyFill="1" applyAlignment="1">
      <alignment horizontal="center" vertical="top" wrapText="1"/>
    </xf>
    <xf numFmtId="8" fontId="10" fillId="9" borderId="0" xfId="0" applyNumberFormat="1" applyFont="1" applyFill="1" applyAlignment="1">
      <alignment horizontal="center" vertical="top" wrapText="1"/>
    </xf>
    <xf numFmtId="0" fontId="3" fillId="2" borderId="1" xfId="0" applyFont="1" applyFill="1" applyBorder="1" applyAlignment="1">
      <alignment horizontal="center"/>
    </xf>
    <xf numFmtId="0" fontId="14" fillId="0" borderId="0" xfId="0" applyFont="1" applyAlignment="1">
      <alignment horizontal="left" vertical="top"/>
    </xf>
    <xf numFmtId="0" fontId="14" fillId="0" borderId="0" xfId="0" applyFont="1" applyAlignment="1">
      <alignment horizontal="left"/>
    </xf>
    <xf numFmtId="0" fontId="8" fillId="0" borderId="0" xfId="0" applyFont="1" applyAlignment="1">
      <alignment horizontal="left" vertical="top" wrapText="1"/>
    </xf>
    <xf numFmtId="165" fontId="12" fillId="0" borderId="0" xfId="0" applyNumberFormat="1" applyFont="1" applyAlignment="1">
      <alignment horizontal="left" vertical="top" wrapText="1"/>
    </xf>
    <xf numFmtId="0" fontId="2" fillId="3" borderId="1" xfId="0" applyFont="1" applyFill="1" applyBorder="1" applyAlignment="1">
      <alignment horizontal="center"/>
    </xf>
    <xf numFmtId="0" fontId="2" fillId="4" borderId="3" xfId="0" applyFont="1" applyFill="1" applyBorder="1" applyAlignment="1">
      <alignment horizontal="left"/>
    </xf>
    <xf numFmtId="0" fontId="2" fillId="4" borderId="4" xfId="0" applyFont="1" applyFill="1" applyBorder="1" applyAlignment="1">
      <alignment horizontal="left"/>
    </xf>
    <xf numFmtId="0" fontId="6" fillId="0" borderId="0" xfId="0" applyFont="1" applyAlignment="1" applyProtection="1">
      <alignment horizontal="right"/>
      <protection locked="0"/>
    </xf>
    <xf numFmtId="44" fontId="13" fillId="0" borderId="0" xfId="1" applyFont="1" applyFill="1" applyAlignment="1" applyProtection="1">
      <alignment horizontal="left"/>
      <protection locked="0"/>
    </xf>
    <xf numFmtId="0" fontId="15" fillId="0" borderId="0" xfId="0" applyFont="1" applyAlignment="1">
      <alignment horizontal="left" vertical="center"/>
    </xf>
    <xf numFmtId="0" fontId="16" fillId="0" borderId="0" xfId="0" applyFont="1" applyAlignment="1">
      <alignment horizontal="left" wrapText="1"/>
    </xf>
    <xf numFmtId="0" fontId="5" fillId="0" borderId="0" xfId="0" applyFont="1" applyAlignment="1">
      <alignment horizontal="left" vertical="top" wrapText="1"/>
    </xf>
    <xf numFmtId="0" fontId="4" fillId="0" borderId="0" xfId="0" applyFont="1" applyAlignment="1">
      <alignment horizontal="left" vertical="top" wrapText="1"/>
    </xf>
    <xf numFmtId="0" fontId="15" fillId="0" borderId="0" xfId="0" applyFont="1" applyAlignment="1">
      <alignment horizontal="left"/>
    </xf>
    <xf numFmtId="0" fontId="3" fillId="6" borderId="5" xfId="0" applyFont="1" applyFill="1" applyBorder="1" applyAlignment="1">
      <alignment horizontal="center"/>
    </xf>
    <xf numFmtId="0" fontId="0" fillId="0" borderId="7" xfId="0" applyBorder="1" applyAlignment="1">
      <alignment horizontal="center"/>
    </xf>
    <xf numFmtId="1" fontId="0" fillId="0" borderId="0" xfId="0" applyNumberFormat="1" applyAlignment="1">
      <alignment horizontal="center"/>
    </xf>
    <xf numFmtId="1" fontId="0" fillId="0" borderId="2" xfId="0" applyNumberFormat="1" applyBorder="1" applyAlignment="1">
      <alignment horizontal="center"/>
    </xf>
    <xf numFmtId="0" fontId="0" fillId="6" borderId="6" xfId="0" applyFill="1" applyBorder="1" applyAlignment="1">
      <alignment horizontal="center"/>
    </xf>
    <xf numFmtId="0" fontId="0" fillId="0" borderId="2" xfId="0" applyBorder="1" applyAlignment="1">
      <alignment horizontal="center"/>
    </xf>
    <xf numFmtId="0" fontId="3" fillId="6" borderId="6" xfId="0" applyFont="1" applyFill="1" applyBorder="1" applyAlignment="1">
      <alignment horizontal="center"/>
    </xf>
    <xf numFmtId="0" fontId="3" fillId="6" borderId="14" xfId="0" applyFont="1" applyFill="1" applyBorder="1" applyAlignment="1">
      <alignment horizontal="center"/>
    </xf>
    <xf numFmtId="0" fontId="9" fillId="8" borderId="10" xfId="0" applyFont="1" applyFill="1" applyBorder="1" applyAlignment="1">
      <alignment horizontal="center" vertical="top" wrapText="1"/>
    </xf>
    <xf numFmtId="0" fontId="9" fillId="8" borderId="11" xfId="0" applyFont="1" applyFill="1" applyBorder="1" applyAlignment="1">
      <alignment horizontal="center" vertical="top" wrapText="1"/>
    </xf>
    <xf numFmtId="0" fontId="9" fillId="8" borderId="12" xfId="0" applyFont="1" applyFill="1" applyBorder="1" applyAlignment="1">
      <alignment horizontal="center" vertical="top" wrapText="1"/>
    </xf>
  </cellXfs>
  <cellStyles count="2">
    <cellStyle name="Currency" xfId="1" builtinId="4"/>
    <cellStyle name="Normal" xfId="0" builtinId="0"/>
  </cellStyles>
  <dxfs count="1">
    <dxf>
      <font>
        <color auto="1"/>
      </font>
      <fill>
        <patternFill>
          <bgColor theme="7" tint="0.7999816888943144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121E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190500</xdr:colOff>
      <xdr:row>18</xdr:row>
      <xdr:rowOff>123824</xdr:rowOff>
    </xdr:from>
    <xdr:to>
      <xdr:col>7</xdr:col>
      <xdr:colOff>262890</xdr:colOff>
      <xdr:row>35</xdr:row>
      <xdr:rowOff>186873</xdr:rowOff>
    </xdr:to>
    <xdr:pic>
      <xdr:nvPicPr>
        <xdr:cNvPr id="11" name="Picture 10">
          <a:extLst>
            <a:ext uri="{FF2B5EF4-FFF2-40B4-BE49-F238E27FC236}">
              <a16:creationId xmlns:a16="http://schemas.microsoft.com/office/drawing/2014/main" id="{717A91E2-CEF0-C68B-DBC3-991CE0D477B4}"/>
            </a:ext>
          </a:extLst>
        </xdr:cNvPr>
        <xdr:cNvPicPr>
          <a:picLocks noChangeAspect="1"/>
        </xdr:cNvPicPr>
      </xdr:nvPicPr>
      <xdr:blipFill rotWithShape="1">
        <a:blip xmlns:r="http://schemas.openxmlformats.org/officeDocument/2006/relationships" r:embed="rId1"/>
        <a:srcRect l="3729" t="2118" r="52339" b="40722"/>
        <a:stretch/>
      </xdr:blipFill>
      <xdr:spPr>
        <a:xfrm>
          <a:off x="3895725" y="4210049"/>
          <a:ext cx="2667000" cy="2223319"/>
        </a:xfrm>
        <a:prstGeom prst="rect">
          <a:avLst/>
        </a:prstGeom>
        <a:ln w="9525" cap="sq">
          <a:solidFill>
            <a:srgbClr val="00206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0</xdr:col>
      <xdr:colOff>76200</xdr:colOff>
      <xdr:row>0</xdr:row>
      <xdr:rowOff>19050</xdr:rowOff>
    </xdr:from>
    <xdr:to>
      <xdr:col>2</xdr:col>
      <xdr:colOff>1062989</xdr:colOff>
      <xdr:row>6</xdr:row>
      <xdr:rowOff>148590</xdr:rowOff>
    </xdr:to>
    <xdr:pic>
      <xdr:nvPicPr>
        <xdr:cNvPr id="3" name="Picture 2">
          <a:extLst>
            <a:ext uri="{FF2B5EF4-FFF2-40B4-BE49-F238E27FC236}">
              <a16:creationId xmlns:a16="http://schemas.microsoft.com/office/drawing/2014/main" id="{771ACBA2-C1D1-13F2-1F1E-C5D91DF669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6200" y="19050"/>
          <a:ext cx="3524249" cy="1524000"/>
        </a:xfrm>
        <a:prstGeom prst="rect">
          <a:avLst/>
        </a:prstGeom>
      </xdr:spPr>
    </xdr:pic>
    <xdr:clientData/>
  </xdr:twoCellAnchor>
  <xdr:twoCellAnchor>
    <xdr:from>
      <xdr:col>4</xdr:col>
      <xdr:colOff>390524</xdr:colOff>
      <xdr:row>26</xdr:row>
      <xdr:rowOff>28575</xdr:rowOff>
    </xdr:from>
    <xdr:to>
      <xdr:col>5</xdr:col>
      <xdr:colOff>1028700</xdr:colOff>
      <xdr:row>28</xdr:row>
      <xdr:rowOff>161925</xdr:rowOff>
    </xdr:to>
    <xdr:sp macro="" textlink="">
      <xdr:nvSpPr>
        <xdr:cNvPr id="5" name="Rectangle 4">
          <a:extLst>
            <a:ext uri="{FF2B5EF4-FFF2-40B4-BE49-F238E27FC236}">
              <a16:creationId xmlns:a16="http://schemas.microsoft.com/office/drawing/2014/main" id="{EB587D15-9156-ECA6-0425-3BC6EA0502E6}"/>
            </a:ext>
          </a:extLst>
        </xdr:cNvPr>
        <xdr:cNvSpPr/>
      </xdr:nvSpPr>
      <xdr:spPr>
        <a:xfrm>
          <a:off x="4095749" y="5238750"/>
          <a:ext cx="1752601" cy="361950"/>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99058</xdr:colOff>
      <xdr:row>25</xdr:row>
      <xdr:rowOff>21508</xdr:rowOff>
    </xdr:from>
    <xdr:to>
      <xdr:col>4</xdr:col>
      <xdr:colOff>371596</xdr:colOff>
      <xdr:row>27</xdr:row>
      <xdr:rowOff>19050</xdr:rowOff>
    </xdr:to>
    <xdr:cxnSp macro="">
      <xdr:nvCxnSpPr>
        <xdr:cNvPr id="9" name="Straight Arrow Connector 8">
          <a:extLst>
            <a:ext uri="{FF2B5EF4-FFF2-40B4-BE49-F238E27FC236}">
              <a16:creationId xmlns:a16="http://schemas.microsoft.com/office/drawing/2014/main" id="{F2255461-B8E8-91EF-5CF2-A44D5040EFC2}"/>
            </a:ext>
          </a:extLst>
        </xdr:cNvPr>
        <xdr:cNvCxnSpPr/>
      </xdr:nvCxnSpPr>
      <xdr:spPr>
        <a:xfrm>
          <a:off x="3802236" y="4913085"/>
          <a:ext cx="272538" cy="228991"/>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1488</xdr:colOff>
      <xdr:row>24</xdr:row>
      <xdr:rowOff>101857</xdr:rowOff>
    </xdr:from>
    <xdr:to>
      <xdr:col>4</xdr:col>
      <xdr:colOff>96132</xdr:colOff>
      <xdr:row>26</xdr:row>
      <xdr:rowOff>110116</xdr:rowOff>
    </xdr:to>
    <xdr:sp macro="" textlink="">
      <xdr:nvSpPr>
        <xdr:cNvPr id="10" name="Rectangle 9">
          <a:extLst>
            <a:ext uri="{FF2B5EF4-FFF2-40B4-BE49-F238E27FC236}">
              <a16:creationId xmlns:a16="http://schemas.microsoft.com/office/drawing/2014/main" id="{55AC2A07-1096-3D71-D3FA-6633258C9B58}"/>
            </a:ext>
          </a:extLst>
        </xdr:cNvPr>
        <xdr:cNvSpPr/>
      </xdr:nvSpPr>
      <xdr:spPr>
        <a:xfrm>
          <a:off x="3706713" y="4940557"/>
          <a:ext cx="94644" cy="236859"/>
        </a:xfrm>
        <a:custGeom>
          <a:avLst/>
          <a:gdLst>
            <a:gd name="connsiteX0" fmla="*/ 0 w 209219"/>
            <a:gd name="connsiteY0" fmla="*/ 0 h 434957"/>
            <a:gd name="connsiteX1" fmla="*/ 209219 w 209219"/>
            <a:gd name="connsiteY1" fmla="*/ 0 h 434957"/>
            <a:gd name="connsiteX2" fmla="*/ 209219 w 209219"/>
            <a:gd name="connsiteY2" fmla="*/ 434957 h 434957"/>
            <a:gd name="connsiteX3" fmla="*/ 0 w 209219"/>
            <a:gd name="connsiteY3" fmla="*/ 434957 h 434957"/>
            <a:gd name="connsiteX4" fmla="*/ 0 w 209219"/>
            <a:gd name="connsiteY4" fmla="*/ 0 h 434957"/>
            <a:gd name="connsiteX0" fmla="*/ 0 w 209219"/>
            <a:gd name="connsiteY0" fmla="*/ 0 h 526397"/>
            <a:gd name="connsiteX1" fmla="*/ 209219 w 209219"/>
            <a:gd name="connsiteY1" fmla="*/ 0 h 526397"/>
            <a:gd name="connsiteX2" fmla="*/ 209219 w 209219"/>
            <a:gd name="connsiteY2" fmla="*/ 434957 h 526397"/>
            <a:gd name="connsiteX3" fmla="*/ 91440 w 209219"/>
            <a:gd name="connsiteY3" fmla="*/ 526397 h 526397"/>
            <a:gd name="connsiteX0" fmla="*/ 0 w 209219"/>
            <a:gd name="connsiteY0" fmla="*/ 0 h 526397"/>
            <a:gd name="connsiteX1" fmla="*/ 209219 w 209219"/>
            <a:gd name="connsiteY1" fmla="*/ 0 h 526397"/>
            <a:gd name="connsiteX2" fmla="*/ 209219 w 209219"/>
            <a:gd name="connsiteY2" fmla="*/ 434957 h 526397"/>
            <a:gd name="connsiteX3" fmla="*/ 91440 w 209219"/>
            <a:gd name="connsiteY3" fmla="*/ 526397 h 526397"/>
            <a:gd name="connsiteX0" fmla="*/ 0 w 209219"/>
            <a:gd name="connsiteY0" fmla="*/ 0 h 435552"/>
            <a:gd name="connsiteX1" fmla="*/ 209219 w 209219"/>
            <a:gd name="connsiteY1" fmla="*/ 0 h 435552"/>
            <a:gd name="connsiteX2" fmla="*/ 209219 w 209219"/>
            <a:gd name="connsiteY2" fmla="*/ 434957 h 435552"/>
            <a:gd name="connsiteX3" fmla="*/ 72170 w 209219"/>
            <a:gd name="connsiteY3" fmla="*/ 435552 h 435552"/>
            <a:gd name="connsiteX0" fmla="*/ 0 w 140397"/>
            <a:gd name="connsiteY0" fmla="*/ 2753 h 435552"/>
            <a:gd name="connsiteX1" fmla="*/ 140397 w 140397"/>
            <a:gd name="connsiteY1" fmla="*/ 0 h 435552"/>
            <a:gd name="connsiteX2" fmla="*/ 140397 w 140397"/>
            <a:gd name="connsiteY2" fmla="*/ 434957 h 435552"/>
            <a:gd name="connsiteX3" fmla="*/ 3348 w 140397"/>
            <a:gd name="connsiteY3" fmla="*/ 435552 h 435552"/>
          </a:gdLst>
          <a:ahLst/>
          <a:cxnLst>
            <a:cxn ang="0">
              <a:pos x="connsiteX0" y="connsiteY0"/>
            </a:cxn>
            <a:cxn ang="0">
              <a:pos x="connsiteX1" y="connsiteY1"/>
            </a:cxn>
            <a:cxn ang="0">
              <a:pos x="connsiteX2" y="connsiteY2"/>
            </a:cxn>
            <a:cxn ang="0">
              <a:pos x="connsiteX3" y="connsiteY3"/>
            </a:cxn>
          </a:cxnLst>
          <a:rect l="l" t="t" r="r" b="b"/>
          <a:pathLst>
            <a:path w="140397" h="435552">
              <a:moveTo>
                <a:pt x="0" y="2753"/>
              </a:moveTo>
              <a:lnTo>
                <a:pt x="140397" y="0"/>
              </a:lnTo>
              <a:lnTo>
                <a:pt x="140397" y="434957"/>
              </a:lnTo>
              <a:lnTo>
                <a:pt x="3348" y="435552"/>
              </a:lnTo>
            </a:path>
          </a:pathLst>
        </a:cu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75D40-EC3B-4AED-87F0-2F66B601C22D}">
  <sheetPr codeName="Sheet1">
    <pageSetUpPr fitToPage="1"/>
  </sheetPr>
  <dimension ref="B1:N100"/>
  <sheetViews>
    <sheetView showGridLines="0" tabSelected="1" topLeftCell="A14" zoomScaleNormal="100" workbookViewId="0">
      <selection activeCell="C33" sqref="C33"/>
    </sheetView>
  </sheetViews>
  <sheetFormatPr defaultColWidth="9.140625" defaultRowHeight="15" x14ac:dyDescent="0.25"/>
  <cols>
    <col min="1" max="1" width="4.140625" style="16" customWidth="1"/>
    <col min="2" max="2" width="34.28515625" style="16" bestFit="1" customWidth="1"/>
    <col min="3" max="3" width="16.7109375" style="16" customWidth="1"/>
    <col min="4" max="4" width="0.42578125" style="16" customWidth="1"/>
    <col min="5" max="5" width="16.7109375" style="29" customWidth="1"/>
    <col min="6" max="6" width="16.7109375" style="16" customWidth="1"/>
    <col min="7" max="7" width="5.7109375" style="16" customWidth="1"/>
    <col min="8" max="8" width="11.7109375" style="16" customWidth="1"/>
    <col min="9" max="16384" width="9.140625" style="16"/>
  </cols>
  <sheetData>
    <row r="1" spans="2:11" ht="3" customHeight="1" x14ac:dyDescent="0.25">
      <c r="B1" s="14"/>
      <c r="C1" s="14"/>
      <c r="D1" s="14"/>
      <c r="E1" s="15"/>
    </row>
    <row r="2" spans="2:11" ht="15" customHeight="1" x14ac:dyDescent="0.25">
      <c r="B2" s="14"/>
      <c r="C2" s="14"/>
      <c r="D2" s="14"/>
      <c r="E2" s="15"/>
    </row>
    <row r="3" spans="2:11" ht="15" customHeight="1" x14ac:dyDescent="0.25">
      <c r="B3" s="14"/>
      <c r="C3" s="14"/>
      <c r="D3" s="14"/>
      <c r="E3" s="15"/>
    </row>
    <row r="4" spans="2:11" ht="33.75" customHeight="1" x14ac:dyDescent="0.25">
      <c r="B4" s="14"/>
      <c r="C4" s="14"/>
      <c r="D4" s="14"/>
      <c r="E4" s="63" t="s">
        <v>9</v>
      </c>
      <c r="F4" s="63"/>
      <c r="G4" s="63"/>
      <c r="H4" s="63"/>
      <c r="I4" s="63"/>
      <c r="J4" s="63"/>
      <c r="K4" s="63"/>
    </row>
    <row r="5" spans="2:11" ht="40.5" customHeight="1" x14ac:dyDescent="0.8">
      <c r="B5" s="14"/>
      <c r="C5" s="14"/>
      <c r="D5" s="14"/>
      <c r="E5" s="64" t="s">
        <v>10</v>
      </c>
      <c r="F5" s="64"/>
      <c r="G5" s="64"/>
      <c r="H5" s="64"/>
      <c r="I5" s="64"/>
      <c r="J5" s="64"/>
      <c r="K5" s="64"/>
    </row>
    <row r="6" spans="2:11" ht="4.5" customHeight="1" x14ac:dyDescent="0.25">
      <c r="B6" s="17"/>
      <c r="C6" s="17"/>
      <c r="D6" s="17"/>
      <c r="E6" s="18"/>
      <c r="F6" s="19"/>
      <c r="G6" s="19"/>
      <c r="H6" s="19"/>
      <c r="I6" s="19"/>
    </row>
    <row r="7" spans="2:11" ht="15" customHeight="1" x14ac:dyDescent="0.25">
      <c r="B7" s="65" t="s">
        <v>66</v>
      </c>
      <c r="C7" s="65"/>
      <c r="D7" s="65"/>
      <c r="E7" s="65"/>
      <c r="F7" s="65"/>
      <c r="G7" s="65"/>
      <c r="H7" s="65"/>
      <c r="I7" s="65"/>
      <c r="J7" s="20"/>
      <c r="K7" s="20"/>
    </row>
    <row r="8" spans="2:11" ht="15" customHeight="1" x14ac:dyDescent="0.25">
      <c r="B8" s="65"/>
      <c r="C8" s="65"/>
      <c r="D8" s="65"/>
      <c r="E8" s="65"/>
      <c r="F8" s="65"/>
      <c r="G8" s="65"/>
      <c r="H8" s="65"/>
      <c r="I8" s="65"/>
      <c r="J8" s="20"/>
      <c r="K8" s="20"/>
    </row>
    <row r="9" spans="2:11" ht="36.75" customHeight="1" x14ac:dyDescent="0.25">
      <c r="B9" s="65"/>
      <c r="C9" s="65"/>
      <c r="D9" s="65"/>
      <c r="E9" s="65"/>
      <c r="F9" s="65"/>
      <c r="G9" s="65"/>
      <c r="H9" s="65"/>
      <c r="I9" s="65"/>
      <c r="J9" s="20"/>
      <c r="K9" s="20"/>
    </row>
    <row r="10" spans="2:11" ht="7.5" customHeight="1" x14ac:dyDescent="0.25">
      <c r="B10" s="14"/>
      <c r="C10" s="14"/>
      <c r="D10" s="14"/>
      <c r="E10" s="15"/>
    </row>
    <row r="11" spans="2:11" ht="24.75" x14ac:dyDescent="0.5">
      <c r="B11" s="76" t="s">
        <v>51</v>
      </c>
      <c r="C11" s="76"/>
      <c r="D11" s="76"/>
      <c r="E11" s="76"/>
      <c r="F11" s="76"/>
      <c r="G11" s="76"/>
      <c r="H11" s="76"/>
      <c r="I11" s="76"/>
      <c r="J11" s="76"/>
      <c r="K11" s="76"/>
    </row>
    <row r="12" spans="2:11" ht="45" customHeight="1" x14ac:dyDescent="0.25">
      <c r="B12" s="66" t="s">
        <v>56</v>
      </c>
      <c r="C12" s="66"/>
      <c r="D12" s="66"/>
      <c r="E12" s="66"/>
      <c r="F12" s="66"/>
      <c r="G12" s="66"/>
      <c r="H12" s="66"/>
      <c r="I12" s="66"/>
    </row>
    <row r="13" spans="2:11" ht="15" customHeight="1" x14ac:dyDescent="0.25">
      <c r="B13" s="14"/>
      <c r="C13" s="14"/>
      <c r="D13" s="14"/>
      <c r="E13" s="15"/>
    </row>
    <row r="14" spans="2:11" ht="15" customHeight="1" thickBot="1" x14ac:dyDescent="0.3">
      <c r="B14" s="14"/>
      <c r="C14" s="14"/>
      <c r="D14" s="14"/>
      <c r="E14" s="21"/>
    </row>
    <row r="15" spans="2:11" ht="15" customHeight="1" thickBot="1" x14ac:dyDescent="0.3">
      <c r="B15" s="68" t="s">
        <v>6</v>
      </c>
      <c r="C15" s="69"/>
      <c r="D15" s="22"/>
      <c r="E15" s="21"/>
    </row>
    <row r="16" spans="2:11" ht="3" customHeight="1" x14ac:dyDescent="0.25">
      <c r="B16" s="22"/>
      <c r="C16" s="22"/>
      <c r="D16" s="22"/>
      <c r="E16" s="21"/>
    </row>
    <row r="17" spans="2:8" ht="15" customHeight="1" x14ac:dyDescent="0.25">
      <c r="B17" s="57" t="s">
        <v>11</v>
      </c>
      <c r="C17" s="23" t="s">
        <v>17</v>
      </c>
      <c r="D17" s="24" t="s">
        <v>40</v>
      </c>
      <c r="E17" s="71" t="str">
        <f>IF(C17="Multifamily","Enter Number of Multifamily Units","")</f>
        <v/>
      </c>
      <c r="F17" s="71"/>
      <c r="G17" s="70">
        <v>0</v>
      </c>
      <c r="H17" s="70"/>
    </row>
    <row r="18" spans="2:8" ht="3" customHeight="1" x14ac:dyDescent="0.25">
      <c r="B18" s="57"/>
      <c r="C18" s="24"/>
      <c r="D18" s="24"/>
      <c r="E18" s="21"/>
    </row>
    <row r="19" spans="2:8" ht="15" customHeight="1" x14ac:dyDescent="0.25">
      <c r="B19" s="57" t="s">
        <v>16</v>
      </c>
      <c r="C19" s="23" t="s">
        <v>20</v>
      </c>
      <c r="D19" s="24"/>
      <c r="E19" s="21"/>
    </row>
    <row r="20" spans="2:8" ht="3" customHeight="1" x14ac:dyDescent="0.25">
      <c r="B20" s="57"/>
      <c r="C20" s="24"/>
      <c r="D20" s="24"/>
      <c r="E20" s="21"/>
    </row>
    <row r="21" spans="2:8" ht="15" customHeight="1" x14ac:dyDescent="0.25">
      <c r="B21" s="57" t="s">
        <v>12</v>
      </c>
      <c r="C21" s="23" t="s">
        <v>26</v>
      </c>
      <c r="D21" s="24" t="s">
        <v>28</v>
      </c>
      <c r="E21" s="21"/>
    </row>
    <row r="22" spans="2:8" ht="3" customHeight="1" x14ac:dyDescent="0.25">
      <c r="B22" s="57"/>
      <c r="C22" s="24"/>
      <c r="D22" s="24"/>
      <c r="E22" s="21"/>
    </row>
    <row r="23" spans="2:8" ht="15" customHeight="1" x14ac:dyDescent="0.25">
      <c r="B23" s="57" t="s">
        <v>14</v>
      </c>
      <c r="C23" s="23" t="s">
        <v>22</v>
      </c>
      <c r="D23" s="24"/>
      <c r="E23" s="21"/>
    </row>
    <row r="24" spans="2:8" ht="3" customHeight="1" x14ac:dyDescent="0.25">
      <c r="B24" s="57"/>
      <c r="C24" s="24"/>
      <c r="D24" s="24"/>
      <c r="E24" s="21"/>
    </row>
    <row r="25" spans="2:8" ht="15" customHeight="1" x14ac:dyDescent="0.25">
      <c r="B25" s="58" t="s">
        <v>7</v>
      </c>
      <c r="C25" s="25">
        <v>0</v>
      </c>
      <c r="D25" s="24"/>
      <c r="E25" s="21"/>
    </row>
    <row r="26" spans="2:8" ht="3" customHeight="1" x14ac:dyDescent="0.25">
      <c r="B26" s="58"/>
      <c r="C26" s="24"/>
      <c r="D26" s="24"/>
      <c r="E26" s="21"/>
    </row>
    <row r="27" spans="2:8" ht="15" customHeight="1" x14ac:dyDescent="0.25">
      <c r="B27" s="58" t="s">
        <v>8</v>
      </c>
      <c r="C27" s="25">
        <v>0</v>
      </c>
      <c r="D27" s="24"/>
      <c r="E27" s="21"/>
    </row>
    <row r="28" spans="2:8" ht="3" customHeight="1" x14ac:dyDescent="0.25">
      <c r="B28" s="58"/>
      <c r="C28" s="24" t="s">
        <v>64</v>
      </c>
      <c r="D28" s="24"/>
      <c r="E28" s="21"/>
    </row>
    <row r="29" spans="2:8" ht="15" customHeight="1" x14ac:dyDescent="0.25">
      <c r="B29" s="58" t="s">
        <v>15</v>
      </c>
      <c r="C29" s="23" t="s">
        <v>23</v>
      </c>
      <c r="D29" s="24"/>
      <c r="E29" s="21"/>
    </row>
    <row r="30" spans="2:8" ht="3" customHeight="1" x14ac:dyDescent="0.25">
      <c r="B30" s="58"/>
      <c r="C30" s="24"/>
      <c r="D30" s="24"/>
      <c r="E30" s="21"/>
    </row>
    <row r="31" spans="2:8" ht="15" customHeight="1" x14ac:dyDescent="0.25">
      <c r="B31" s="58" t="s">
        <v>48</v>
      </c>
      <c r="C31" s="25">
        <v>0</v>
      </c>
      <c r="D31" s="24"/>
      <c r="E31" s="21"/>
    </row>
    <row r="32" spans="2:8" ht="3" customHeight="1" x14ac:dyDescent="0.25">
      <c r="B32"/>
      <c r="E32" s="21"/>
    </row>
    <row r="33" spans="2:14" ht="15" customHeight="1" x14ac:dyDescent="0.25">
      <c r="B33" s="58" t="s">
        <v>67</v>
      </c>
      <c r="C33" s="23" t="s">
        <v>23</v>
      </c>
      <c r="D33" s="24"/>
      <c r="E33" s="21"/>
    </row>
    <row r="34" spans="2:14" ht="3" customHeight="1" x14ac:dyDescent="0.25">
      <c r="E34" s="21"/>
    </row>
    <row r="35" spans="2:14" ht="26.25" customHeight="1" x14ac:dyDescent="0.25">
      <c r="B35" s="74" t="s">
        <v>58</v>
      </c>
      <c r="C35" s="74"/>
      <c r="D35" s="26"/>
      <c r="E35" s="26"/>
      <c r="F35" s="26"/>
    </row>
    <row r="36" spans="2:14" ht="26.25" customHeight="1" x14ac:dyDescent="0.25">
      <c r="B36" s="74"/>
      <c r="C36" s="74"/>
      <c r="D36" s="26"/>
      <c r="E36" s="26"/>
      <c r="F36" s="26"/>
      <c r="N36" s="27"/>
    </row>
    <row r="37" spans="2:14" ht="15" customHeight="1" x14ac:dyDescent="0.25">
      <c r="B37" s="28"/>
      <c r="C37" s="28"/>
      <c r="D37" s="26"/>
      <c r="E37" s="26"/>
      <c r="F37" s="26"/>
    </row>
    <row r="38" spans="2:14" ht="23.25" customHeight="1" thickBot="1" x14ac:dyDescent="0.3">
      <c r="B38" s="72" t="s">
        <v>10</v>
      </c>
      <c r="C38" s="72"/>
      <c r="D38" s="72"/>
      <c r="E38" s="72"/>
      <c r="F38" s="72"/>
      <c r="G38" s="72"/>
      <c r="H38" s="72"/>
      <c r="I38" s="72"/>
      <c r="J38" s="72"/>
      <c r="K38" s="72"/>
    </row>
    <row r="39" spans="2:14" ht="15.75" thickBot="1" x14ac:dyDescent="0.3">
      <c r="B39" s="30" t="s">
        <v>3</v>
      </c>
      <c r="C39" s="67" t="s">
        <v>33</v>
      </c>
      <c r="D39" s="67"/>
      <c r="E39" s="31" t="s">
        <v>2</v>
      </c>
      <c r="F39" s="32" t="s">
        <v>4</v>
      </c>
      <c r="G39"/>
      <c r="H39"/>
      <c r="I39"/>
      <c r="J39"/>
      <c r="K39"/>
    </row>
    <row r="40" spans="2:14" x14ac:dyDescent="0.25">
      <c r="B40" s="33" t="s">
        <v>1</v>
      </c>
      <c r="C40" s="77"/>
      <c r="D40" s="77"/>
      <c r="E40" s="34"/>
      <c r="F40" s="35">
        <f>SUM(F41:F44)</f>
        <v>94.9</v>
      </c>
      <c r="G40"/>
      <c r="H40"/>
      <c r="I40"/>
      <c r="J40"/>
      <c r="K40"/>
    </row>
    <row r="41" spans="2:14" x14ac:dyDescent="0.25">
      <c r="B41" s="36" t="s">
        <v>50</v>
      </c>
      <c r="C41" s="78"/>
      <c r="D41" s="78"/>
      <c r="E41" s="37">
        <f>IF($C$19="Inside",(VLOOKUP($C$21,'Code Sheet - Rates'!$A$1:$F$9,MATCH('Bill Calculator &amp; Breakdown'!$C$17,'Code Sheet - Rates'!$A$2:$F$2,0),FALSE)),(VLOOKUP($C$21,'Code Sheet - Rates'!$H$1:$M$9,MATCH('Bill Calculator &amp; Breakdown'!$C$17,'Code Sheet - Rates'!$H$2:$M$2,0),FALSE)))*IF($C$17="Multifamily",$G$17,1)</f>
        <v>94.9</v>
      </c>
      <c r="F41" s="38">
        <f>E41</f>
        <v>94.9</v>
      </c>
      <c r="G41"/>
      <c r="H41"/>
      <c r="I41"/>
      <c r="J41"/>
      <c r="K41"/>
    </row>
    <row r="42" spans="2:14" x14ac:dyDescent="0.25">
      <c r="B42" s="36" t="str">
        <f>IF(OR($C$17="Commercial", $C$17="Irrigation"),"0-15,000 Gallons","0-5,000 Gallons")</f>
        <v>0-5,000 Gallons</v>
      </c>
      <c r="C42" s="79">
        <f>IFERROR(IF(OR(C17="Commercial",C17="Irrigation"),MIN(15000,N(C25)),MIN(5000,N(C25))),0)</f>
        <v>0</v>
      </c>
      <c r="D42" s="79"/>
      <c r="E42" s="37">
        <f>IF($C$19="Inside",(VLOOKUP($B$42,'Code Sheet - Rates'!$A$1:$F$18,MATCH('Bill Calculator &amp; Breakdown'!$C$17,'Code Sheet - Rates'!$A$2:$F$2,0),FALSE)),(VLOOKUP($B$42,'Code Sheet - Rates'!$H$1:$M$18,MATCH('Bill Calculator &amp; Breakdown'!$C$17,'Code Sheet - Rates'!$H$2:$M$2,0),FALSE)))</f>
        <v>5.0999999999999996</v>
      </c>
      <c r="F42" s="38">
        <f>IFERROR((C42/1000) * E42, 0)</f>
        <v>0</v>
      </c>
      <c r="G42"/>
      <c r="H42"/>
      <c r="I42"/>
      <c r="J42"/>
      <c r="K42"/>
    </row>
    <row r="43" spans="2:14" x14ac:dyDescent="0.25">
      <c r="B43" s="36" t="str">
        <f>IF(OR($C$17="Commercial", $C$17="Irrigation"),"15,001-30,000 Gallons","5,001-15,000 Gallons")</f>
        <v>5,001-15,000 Gallons</v>
      </c>
      <c r="C43" s="79">
        <f>IFERROR(IF(OR(C17="Commercial",C17="Irrigation"),MAX(MIN(N(C25)-15000,14999),0),MAX(MIN(N(C25)-5000,9999),0)),0)</f>
        <v>0</v>
      </c>
      <c r="D43" s="79"/>
      <c r="E43" s="37">
        <f>IF($C$19="Inside",(VLOOKUP($B$43,'Code Sheet - Rates'!$A$1:$F$18,MATCH('Bill Calculator &amp; Breakdown'!$C$17,'Code Sheet - Rates'!$A$2:$F$2,0),FALSE)),(VLOOKUP($B$43,'Code Sheet - Rates'!$H$1:$M$18,MATCH('Bill Calculator &amp; Breakdown'!$C$17,'Code Sheet - Rates'!$H$2:$M$2,0),FALSE)))</f>
        <v>6.4</v>
      </c>
      <c r="F43" s="38">
        <f t="shared" ref="F43:F44" si="0">IFERROR((C43/1000) * E43, 0)</f>
        <v>0</v>
      </c>
      <c r="G43"/>
      <c r="H43"/>
      <c r="I43"/>
      <c r="J43"/>
      <c r="K43"/>
    </row>
    <row r="44" spans="2:14" x14ac:dyDescent="0.25">
      <c r="B44" s="36" t="str">
        <f>IF(OR($C$17="Commercial", $C$17="Irrigation"),"30,001+ Gallons","15,001+ Gallons")</f>
        <v>15,001+ Gallons</v>
      </c>
      <c r="C44" s="80">
        <f>IFERROR(MAX(N(C25)-C42-C43,0),0)</f>
        <v>0</v>
      </c>
      <c r="D44" s="80"/>
      <c r="E44" s="37">
        <f>IF($C$19="Inside",(VLOOKUP($B$44,'Code Sheet - Rates'!$A$1:$F$18,MATCH('Bill Calculator &amp; Breakdown'!$C$17,'Code Sheet - Rates'!$A$2:$F$2,0),FALSE)),(VLOOKUP($B$44,'Code Sheet - Rates'!$H$1:$M$18,MATCH('Bill Calculator &amp; Breakdown'!$C$17,'Code Sheet - Rates'!$H$2:$M$2,0),FALSE)))</f>
        <v>9.5</v>
      </c>
      <c r="F44" s="38">
        <f t="shared" si="0"/>
        <v>0</v>
      </c>
      <c r="G44"/>
      <c r="H44"/>
      <c r="I44"/>
      <c r="J44"/>
      <c r="K44"/>
    </row>
    <row r="45" spans="2:14" x14ac:dyDescent="0.25">
      <c r="B45" s="39" t="s">
        <v>0</v>
      </c>
      <c r="C45" s="81"/>
      <c r="D45" s="81"/>
      <c r="E45" s="40"/>
      <c r="F45" s="41" t="e">
        <f>SUM(F46:F47)</f>
        <v>#N/A</v>
      </c>
      <c r="G45"/>
      <c r="H45"/>
      <c r="I45"/>
      <c r="J45"/>
      <c r="K45"/>
    </row>
    <row r="46" spans="2:14" x14ac:dyDescent="0.25">
      <c r="B46" s="36" t="s">
        <v>50</v>
      </c>
      <c r="C46" s="78"/>
      <c r="D46" s="78"/>
      <c r="E46" s="37">
        <f>IF(C23="No",0,IF($C$19="Inside",(VLOOKUP($C$21,'Code Sheet - Rates'!$A$20:$F$28,MATCH('Bill Calculator &amp; Breakdown'!$C$17,'Code Sheet - Rates'!$A$21:$F$21,0),FALSE)),(VLOOKUP($C$21,'Code Sheet - Rates'!$H$20:$M$28,MATCH('Bill Calculator &amp; Breakdown'!$C$17,'Code Sheet - Rates'!$H$21:$M$21,0),FALSE)))*IF($C$17="Multifamily",$G$17,1))</f>
        <v>157.1</v>
      </c>
      <c r="F46" s="42">
        <f>E46</f>
        <v>157.1</v>
      </c>
      <c r="G46"/>
      <c r="H46"/>
      <c r="I46"/>
      <c r="J46"/>
      <c r="K46"/>
    </row>
    <row r="47" spans="2:14" x14ac:dyDescent="0.25">
      <c r="B47" s="43" t="s">
        <v>5</v>
      </c>
      <c r="C47" s="82" t="e" cm="1">
        <f t="array" ref="C47">IF(C17="Residential",(IF(C23="Yes",(_xlfn.IFS(C25&lt;C27,C25,C25&gt;C27,C27)),"")),C25)</f>
        <v>#N/A</v>
      </c>
      <c r="D47" s="82"/>
      <c r="E47" s="37">
        <f>IF(C23="Yes",(IF($C$19="Inside",(VLOOKUP($B$47,'Code Sheet - Rates'!$A$1:$F$31,MATCH('Bill Calculator &amp; Breakdown'!$C$17,'Code Sheet - Rates'!$A$21:$F$21,0),FALSE)),(VLOOKUP($B$47,'Code Sheet - Rates'!$H$1:$M$31,MATCH('Bill Calculator &amp; Breakdown'!$C$17,'Code Sheet - Rates'!$H$21:$M$21,0),FALSE)))),"")</f>
        <v>8</v>
      </c>
      <c r="F47" s="44" t="e">
        <f>IF(C23="Yes",((C47/1000)*E47),0)</f>
        <v>#N/A</v>
      </c>
      <c r="G47"/>
      <c r="H47"/>
      <c r="I47"/>
      <c r="J47"/>
      <c r="K47"/>
    </row>
    <row r="48" spans="2:14" x14ac:dyDescent="0.25">
      <c r="B48" s="39" t="s">
        <v>59</v>
      </c>
      <c r="C48" s="83"/>
      <c r="D48" s="83"/>
      <c r="E48" s="45"/>
      <c r="F48" s="41">
        <f>SUM(F49:F50)</f>
        <v>0</v>
      </c>
      <c r="G48"/>
      <c r="H48"/>
      <c r="I48"/>
      <c r="J48"/>
      <c r="K48"/>
    </row>
    <row r="49" spans="2:11" x14ac:dyDescent="0.25">
      <c r="B49" s="46" t="s">
        <v>37</v>
      </c>
      <c r="C49" s="78"/>
      <c r="D49" s="78"/>
      <c r="E49" s="47">
        <f>IF(C29="Yes",19.64,0)</f>
        <v>0</v>
      </c>
      <c r="F49" s="48">
        <f>E49</f>
        <v>0</v>
      </c>
      <c r="G49"/>
      <c r="H49"/>
      <c r="I49"/>
      <c r="J49"/>
      <c r="K49"/>
    </row>
    <row r="50" spans="2:11" x14ac:dyDescent="0.25">
      <c r="B50" s="43" t="s">
        <v>47</v>
      </c>
      <c r="C50" s="82">
        <f>IF(C31&gt;2,C31-2,0)</f>
        <v>0</v>
      </c>
      <c r="D50" s="82"/>
      <c r="E50" s="49">
        <f>IF(C50&gt;0,5.91,0)</f>
        <v>0</v>
      </c>
      <c r="F50" s="50">
        <f>E50*C50</f>
        <v>0</v>
      </c>
      <c r="G50"/>
      <c r="H50"/>
      <c r="I50"/>
      <c r="J50"/>
      <c r="K50"/>
    </row>
    <row r="51" spans="2:11" ht="15.75" thickBot="1" x14ac:dyDescent="0.3">
      <c r="B51" s="51" t="s">
        <v>68</v>
      </c>
      <c r="C51" s="84"/>
      <c r="D51" s="84"/>
      <c r="E51" s="52"/>
      <c r="F51" s="53">
        <f>IF(C33="Yes",6.75,0)</f>
        <v>0</v>
      </c>
      <c r="G51"/>
      <c r="H51"/>
      <c r="I51"/>
      <c r="J51"/>
      <c r="K51"/>
    </row>
    <row r="52" spans="2:11" ht="15.75" thickBot="1" x14ac:dyDescent="0.3">
      <c r="B52" s="54" t="s">
        <v>57</v>
      </c>
      <c r="C52" s="62"/>
      <c r="D52" s="62"/>
      <c r="E52" s="55"/>
      <c r="F52" s="56" t="e">
        <f>F40+F45+F48+F51</f>
        <v>#N/A</v>
      </c>
      <c r="G52"/>
      <c r="H52"/>
      <c r="I52"/>
      <c r="J52"/>
      <c r="K52"/>
    </row>
    <row r="53" spans="2:11" ht="9" customHeight="1" x14ac:dyDescent="0.25"/>
    <row r="54" spans="2:11" ht="34.5" customHeight="1" x14ac:dyDescent="0.25">
      <c r="B54" s="75" t="s">
        <v>65</v>
      </c>
      <c r="C54" s="75"/>
      <c r="D54" s="75"/>
      <c r="E54" s="75"/>
      <c r="F54" s="75"/>
    </row>
    <row r="56" spans="2:11" ht="90" customHeight="1" x14ac:dyDescent="0.25">
      <c r="B56" s="73" t="s">
        <v>63</v>
      </c>
      <c r="C56" s="73"/>
      <c r="D56" s="73"/>
      <c r="E56" s="73"/>
      <c r="F56" s="73"/>
    </row>
    <row r="100" spans="2:2" x14ac:dyDescent="0.25">
      <c r="B100" s="16">
        <f>IF(B43="15,001-30,000 Gallons",(IF(C17&lt;&gt;"Multifamily",(IF(C25&gt;30000,15000,C25-15000)),(IF(C42&gt;5000,9999-C42,0)))),IF(C17&lt;&gt;"Multifamily",(IF(C25&gt;15000,9999,C25-C42)),(IF(C42&gt;5000,9999-C42,0))))</f>
        <v>0</v>
      </c>
    </row>
  </sheetData>
  <sheetProtection algorithmName="SHA-512" hashValue="yRtWEKG1KrKaFmy43DSCk9wQuYAJIEBOzEqZrHHALCsg0WwzEKrX8wWz0Vm6ac90f9pXzji7kRcD7sJtdZoM9Q==" saltValue="TpkOy8OHjJoY8tGkYbz0Sg==" spinCount="100000" sheet="1" objects="1" scenarios="1"/>
  <mergeCells count="26">
    <mergeCell ref="B56:F56"/>
    <mergeCell ref="B35:C36"/>
    <mergeCell ref="B54:F54"/>
    <mergeCell ref="B11:K11"/>
    <mergeCell ref="C40:D40"/>
    <mergeCell ref="C41:D41"/>
    <mergeCell ref="C42:D42"/>
    <mergeCell ref="C43:D43"/>
    <mergeCell ref="C44:D44"/>
    <mergeCell ref="C45:D45"/>
    <mergeCell ref="C47:D47"/>
    <mergeCell ref="C46:D46"/>
    <mergeCell ref="C48:D48"/>
    <mergeCell ref="C49:D49"/>
    <mergeCell ref="C50:D50"/>
    <mergeCell ref="C51:D51"/>
    <mergeCell ref="C52:D52"/>
    <mergeCell ref="E4:K4"/>
    <mergeCell ref="E5:K5"/>
    <mergeCell ref="B7:I9"/>
    <mergeCell ref="B12:I12"/>
    <mergeCell ref="C39:D39"/>
    <mergeCell ref="B15:C15"/>
    <mergeCell ref="G17:H17"/>
    <mergeCell ref="E17:F17"/>
    <mergeCell ref="B38:K38"/>
  </mergeCells>
  <conditionalFormatting sqref="G17:H17">
    <cfRule type="expression" dxfId="0" priority="1">
      <formula>$C$17="Multifamily"</formula>
    </cfRule>
  </conditionalFormatting>
  <pageMargins left="0.7" right="0.7" top="0.75" bottom="0.75" header="0.3" footer="0.3"/>
  <pageSetup scale="67" orientation="portrait" r:id="rId1"/>
  <ignoredErrors>
    <ignoredError sqref="E17" unlockedFormula="1"/>
  </ignoredError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F4F6DFB1-FF88-4A3A-976C-24414634333B}">
          <x14:formula1>
            <xm:f>'Code Sheet - Customer Questions'!$A$2:$A$6</xm:f>
          </x14:formula1>
          <xm:sqref>C17:D17</xm:sqref>
        </x14:dataValidation>
        <x14:dataValidation type="list" allowBlank="1" showInputMessage="1" showErrorMessage="1" xr:uid="{10797A5F-093C-40B8-9439-A02445BD0449}">
          <x14:formula1>
            <xm:f>'Code Sheet - Customer Questions'!$B$2:$B$3</xm:f>
          </x14:formula1>
          <xm:sqref>C19:D19</xm:sqref>
        </x14:dataValidation>
        <x14:dataValidation type="list" allowBlank="1" showInputMessage="1" showErrorMessage="1" xr:uid="{D4CF64FA-1431-49DA-887E-FD3A8AF13063}">
          <x14:formula1>
            <xm:f>'Code Sheet - Customer Questions'!$C$2:$C$8</xm:f>
          </x14:formula1>
          <xm:sqref>C21:D21</xm:sqref>
        </x14:dataValidation>
        <x14:dataValidation type="list" allowBlank="1" showInputMessage="1" showErrorMessage="1" xr:uid="{639BE91C-8458-4C84-89C0-7240A3E3ACA6}">
          <x14:formula1>
            <xm:f>'Code Sheet - Customer Questions'!$D$2:$D$3</xm:f>
          </x14:formula1>
          <xm:sqref>C23:D23</xm:sqref>
        </x14:dataValidation>
        <x14:dataValidation type="list" allowBlank="1" showInputMessage="1" showErrorMessage="1" xr:uid="{23924157-0894-4462-94E9-CE6F6B1A40FD}">
          <x14:formula1>
            <xm:f>'Code Sheet - Customer Questions'!$E$2:$E$3</xm:f>
          </x14:formula1>
          <xm:sqref>C29:D29</xm:sqref>
        </x14:dataValidation>
        <x14:dataValidation type="list" allowBlank="1" showInputMessage="1" showErrorMessage="1" xr:uid="{0B83A38A-80D2-4FDF-9C45-637C9AF437BC}">
          <x14:formula1>
            <xm:f>'Code Sheet - Customer Questions'!$G$2:$G$3</xm:f>
          </x14:formula1>
          <xm:sqref>C33:D33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8C27C-0007-44CB-9DFE-D207D8A5770F}">
  <sheetPr codeName="Sheet3"/>
  <dimension ref="A1:M31"/>
  <sheetViews>
    <sheetView workbookViewId="0">
      <selection activeCell="D13" sqref="D13"/>
    </sheetView>
  </sheetViews>
  <sheetFormatPr defaultRowHeight="15" x14ac:dyDescent="0.25"/>
  <cols>
    <col min="1" max="1" width="24.7109375" bestFit="1" customWidth="1"/>
    <col min="2" max="2" width="12.5703125" bestFit="1" customWidth="1"/>
    <col min="3" max="3" width="10.140625" bestFit="1" customWidth="1"/>
    <col min="4" max="4" width="14" bestFit="1" customWidth="1"/>
    <col min="5" max="5" width="13.5703125" bestFit="1" customWidth="1"/>
    <col min="6" max="6" width="10.5703125" bestFit="1" customWidth="1"/>
    <col min="8" max="8" width="24.7109375" bestFit="1" customWidth="1"/>
    <col min="9" max="9" width="12.5703125" bestFit="1" customWidth="1"/>
    <col min="10" max="10" width="10.140625" bestFit="1" customWidth="1"/>
    <col min="11" max="11" width="14" bestFit="1" customWidth="1"/>
    <col min="12" max="12" width="13.5703125" bestFit="1" customWidth="1"/>
    <col min="13" max="13" width="12" bestFit="1" customWidth="1"/>
  </cols>
  <sheetData>
    <row r="1" spans="1:13" ht="20.25" customHeight="1" thickBot="1" x14ac:dyDescent="0.3">
      <c r="A1" s="85" t="s">
        <v>60</v>
      </c>
      <c r="B1" s="86"/>
      <c r="C1" s="86"/>
      <c r="D1" s="86"/>
      <c r="E1" s="86"/>
      <c r="F1" s="87"/>
      <c r="H1" s="85" t="s">
        <v>46</v>
      </c>
      <c r="I1" s="86"/>
      <c r="J1" s="86"/>
      <c r="K1" s="86"/>
      <c r="L1" s="86"/>
      <c r="M1" s="87"/>
    </row>
    <row r="2" spans="1:13" ht="20.25" thickBot="1" x14ac:dyDescent="0.3">
      <c r="A2" s="5" t="s">
        <v>12</v>
      </c>
      <c r="B2" s="4" t="s">
        <v>17</v>
      </c>
      <c r="C2" s="4" t="s">
        <v>38</v>
      </c>
      <c r="D2" s="4" t="s">
        <v>39</v>
      </c>
      <c r="E2" s="4" t="s">
        <v>40</v>
      </c>
      <c r="F2" s="4" t="s">
        <v>18</v>
      </c>
      <c r="H2" s="5" t="s">
        <v>12</v>
      </c>
      <c r="I2" s="4" t="s">
        <v>17</v>
      </c>
      <c r="J2" s="4" t="s">
        <v>38</v>
      </c>
      <c r="K2" s="4" t="s">
        <v>39</v>
      </c>
      <c r="L2" s="4" t="s">
        <v>40</v>
      </c>
      <c r="M2" s="4" t="s">
        <v>18</v>
      </c>
    </row>
    <row r="3" spans="1:13" ht="20.25" thickBot="1" x14ac:dyDescent="0.3">
      <c r="A3" s="6" t="s">
        <v>41</v>
      </c>
      <c r="B3" s="2">
        <v>30.9</v>
      </c>
      <c r="C3" s="2">
        <v>30.9</v>
      </c>
      <c r="D3" s="2">
        <v>30.9</v>
      </c>
      <c r="E3" s="2">
        <v>61.8</v>
      </c>
      <c r="F3" s="2">
        <v>61.8</v>
      </c>
      <c r="H3" s="6" t="s">
        <v>41</v>
      </c>
      <c r="I3" s="2">
        <f>B3*1.5</f>
        <v>46.349999999999994</v>
      </c>
      <c r="J3" s="2">
        <f>C3*1.5</f>
        <v>46.349999999999994</v>
      </c>
      <c r="K3" s="2">
        <f>D3*1.5</f>
        <v>46.349999999999994</v>
      </c>
      <c r="L3" s="2">
        <f>E3*1.5</f>
        <v>92.699999999999989</v>
      </c>
      <c r="M3" s="2">
        <f>F3*1.5</f>
        <v>92.699999999999989</v>
      </c>
    </row>
    <row r="4" spans="1:13" ht="20.25" thickBot="1" x14ac:dyDescent="0.3">
      <c r="A4" s="7" t="s">
        <v>24</v>
      </c>
      <c r="B4" s="3">
        <v>47.5</v>
      </c>
      <c r="C4" s="3">
        <v>47.5</v>
      </c>
      <c r="D4" s="2">
        <v>30.9</v>
      </c>
      <c r="E4" s="3">
        <v>95</v>
      </c>
      <c r="F4" s="3">
        <v>95</v>
      </c>
      <c r="H4" s="7" t="s">
        <v>24</v>
      </c>
      <c r="I4" s="2">
        <f t="shared" ref="I4:I9" si="0">B4*1.5</f>
        <v>71.25</v>
      </c>
      <c r="J4" s="2">
        <f t="shared" ref="J4:J9" si="1">C4*1.5</f>
        <v>71.25</v>
      </c>
      <c r="K4" s="2">
        <f t="shared" ref="K4:K9" si="2">D4*1.5</f>
        <v>46.349999999999994</v>
      </c>
      <c r="L4" s="2">
        <f t="shared" ref="L4:L9" si="3">E4*1.5</f>
        <v>142.5</v>
      </c>
      <c r="M4" s="2">
        <f t="shared" ref="M4:M9" si="4">F4*1.5</f>
        <v>142.5</v>
      </c>
    </row>
    <row r="5" spans="1:13" ht="20.25" thickBot="1" x14ac:dyDescent="0.3">
      <c r="A5" s="6" t="s">
        <v>25</v>
      </c>
      <c r="B5" s="2">
        <v>62.9</v>
      </c>
      <c r="C5" s="2">
        <v>62.9</v>
      </c>
      <c r="D5" s="2">
        <v>30.9</v>
      </c>
      <c r="E5" s="2">
        <v>125.8</v>
      </c>
      <c r="F5" s="2">
        <v>125.8</v>
      </c>
      <c r="H5" s="6" t="s">
        <v>25</v>
      </c>
      <c r="I5" s="2">
        <f t="shared" si="0"/>
        <v>94.35</v>
      </c>
      <c r="J5" s="2">
        <f t="shared" si="1"/>
        <v>94.35</v>
      </c>
      <c r="K5" s="2">
        <f t="shared" si="2"/>
        <v>46.349999999999994</v>
      </c>
      <c r="L5" s="2">
        <f t="shared" si="3"/>
        <v>188.7</v>
      </c>
      <c r="M5" s="2">
        <f t="shared" si="4"/>
        <v>188.7</v>
      </c>
    </row>
    <row r="6" spans="1:13" ht="20.25" thickBot="1" x14ac:dyDescent="0.3">
      <c r="A6" s="7" t="s">
        <v>26</v>
      </c>
      <c r="B6" s="3">
        <v>94.9</v>
      </c>
      <c r="C6" s="3">
        <v>94.9</v>
      </c>
      <c r="D6" s="2">
        <v>30.9</v>
      </c>
      <c r="E6" s="3">
        <v>189.8</v>
      </c>
      <c r="F6" s="3">
        <v>189.8</v>
      </c>
      <c r="H6" s="7" t="s">
        <v>26</v>
      </c>
      <c r="I6" s="2">
        <f t="shared" si="0"/>
        <v>142.35000000000002</v>
      </c>
      <c r="J6" s="2">
        <f t="shared" si="1"/>
        <v>142.35000000000002</v>
      </c>
      <c r="K6" s="2">
        <f t="shared" si="2"/>
        <v>46.349999999999994</v>
      </c>
      <c r="L6" s="2">
        <f t="shared" si="3"/>
        <v>284.70000000000005</v>
      </c>
      <c r="M6" s="2">
        <f t="shared" si="4"/>
        <v>284.70000000000005</v>
      </c>
    </row>
    <row r="7" spans="1:13" ht="20.25" thickBot="1" x14ac:dyDescent="0.3">
      <c r="A7" s="6" t="s">
        <v>27</v>
      </c>
      <c r="B7" s="2">
        <v>134.69999999999999</v>
      </c>
      <c r="C7" s="2">
        <v>134.69999999999999</v>
      </c>
      <c r="D7" s="2">
        <v>30.9</v>
      </c>
      <c r="E7" s="2">
        <v>269.39999999999998</v>
      </c>
      <c r="F7" s="2">
        <v>269.39999999999998</v>
      </c>
      <c r="H7" s="6" t="s">
        <v>27</v>
      </c>
      <c r="I7" s="2">
        <f t="shared" si="0"/>
        <v>202.04999999999998</v>
      </c>
      <c r="J7" s="2">
        <f t="shared" si="1"/>
        <v>202.04999999999998</v>
      </c>
      <c r="K7" s="2">
        <f t="shared" si="2"/>
        <v>46.349999999999994</v>
      </c>
      <c r="L7" s="2">
        <f t="shared" si="3"/>
        <v>404.09999999999997</v>
      </c>
      <c r="M7" s="2">
        <f t="shared" si="4"/>
        <v>404.09999999999997</v>
      </c>
    </row>
    <row r="8" spans="1:13" ht="20.25" thickBot="1" x14ac:dyDescent="0.3">
      <c r="A8" s="7" t="s">
        <v>28</v>
      </c>
      <c r="B8" s="3">
        <v>197.5</v>
      </c>
      <c r="C8" s="3">
        <v>197.5</v>
      </c>
      <c r="D8" s="2">
        <v>30.9</v>
      </c>
      <c r="E8" s="3">
        <v>395</v>
      </c>
      <c r="F8" s="3">
        <v>395</v>
      </c>
      <c r="H8" s="7" t="s">
        <v>28</v>
      </c>
      <c r="I8" s="2">
        <f t="shared" si="0"/>
        <v>296.25</v>
      </c>
      <c r="J8" s="2">
        <f t="shared" si="1"/>
        <v>296.25</v>
      </c>
      <c r="K8" s="2">
        <f t="shared" si="2"/>
        <v>46.349999999999994</v>
      </c>
      <c r="L8" s="2">
        <f t="shared" si="3"/>
        <v>592.5</v>
      </c>
      <c r="M8" s="2">
        <f t="shared" si="4"/>
        <v>592.5</v>
      </c>
    </row>
    <row r="9" spans="1:13" ht="20.25" thickBot="1" x14ac:dyDescent="0.3">
      <c r="A9" s="6" t="s">
        <v>29</v>
      </c>
      <c r="B9" s="2">
        <v>397.3</v>
      </c>
      <c r="C9" s="2">
        <v>397.3</v>
      </c>
      <c r="D9" s="2">
        <v>30.9</v>
      </c>
      <c r="E9" s="2">
        <v>794</v>
      </c>
      <c r="F9" s="2">
        <v>794</v>
      </c>
      <c r="H9" s="6" t="s">
        <v>29</v>
      </c>
      <c r="I9" s="2">
        <f t="shared" si="0"/>
        <v>595.95000000000005</v>
      </c>
      <c r="J9" s="2">
        <f t="shared" si="1"/>
        <v>595.95000000000005</v>
      </c>
      <c r="K9" s="2">
        <f t="shared" si="2"/>
        <v>46.349999999999994</v>
      </c>
      <c r="L9" s="2">
        <f t="shared" si="3"/>
        <v>1191</v>
      </c>
      <c r="M9" s="2">
        <f t="shared" si="4"/>
        <v>1191</v>
      </c>
    </row>
    <row r="10" spans="1:13" ht="15.75" thickBot="1" x14ac:dyDescent="0.3"/>
    <row r="11" spans="1:13" ht="20.25" thickBot="1" x14ac:dyDescent="0.3">
      <c r="A11" s="85" t="s">
        <v>53</v>
      </c>
      <c r="B11" s="86"/>
      <c r="C11" s="86"/>
      <c r="D11" s="86"/>
      <c r="E11" s="86"/>
      <c r="F11" s="87"/>
      <c r="H11" s="85" t="s">
        <v>54</v>
      </c>
      <c r="I11" s="86"/>
      <c r="J11" s="86"/>
      <c r="K11" s="86"/>
      <c r="L11" s="86"/>
      <c r="M11" s="87"/>
    </row>
    <row r="12" spans="1:13" ht="20.25" thickBot="1" x14ac:dyDescent="0.3">
      <c r="A12" s="8" t="s">
        <v>34</v>
      </c>
      <c r="B12" s="3">
        <v>5.0999999999999996</v>
      </c>
      <c r="C12" s="3">
        <v>5.0999999999999996</v>
      </c>
      <c r="D12" s="3">
        <v>5.0999999999999996</v>
      </c>
      <c r="E12" s="8" t="s">
        <v>42</v>
      </c>
      <c r="F12" s="8" t="s">
        <v>42</v>
      </c>
      <c r="H12" s="8" t="s">
        <v>34</v>
      </c>
      <c r="I12" s="3">
        <f t="shared" ref="I12:K14" si="5">B12*1.5</f>
        <v>7.6499999999999995</v>
      </c>
      <c r="J12" s="3">
        <f t="shared" si="5"/>
        <v>7.6499999999999995</v>
      </c>
      <c r="K12" s="3">
        <f t="shared" si="5"/>
        <v>7.6499999999999995</v>
      </c>
      <c r="L12" s="8" t="s">
        <v>42</v>
      </c>
      <c r="M12" s="8" t="s">
        <v>42</v>
      </c>
    </row>
    <row r="13" spans="1:13" ht="20.25" thickBot="1" x14ac:dyDescent="0.3">
      <c r="A13" s="1" t="s">
        <v>35</v>
      </c>
      <c r="B13" s="2">
        <v>6.4</v>
      </c>
      <c r="C13" s="2">
        <v>6.4</v>
      </c>
      <c r="D13" s="2">
        <v>6.4</v>
      </c>
      <c r="E13" s="1" t="s">
        <v>42</v>
      </c>
      <c r="F13" s="1" t="s">
        <v>42</v>
      </c>
      <c r="H13" s="1" t="s">
        <v>35</v>
      </c>
      <c r="I13" s="12">
        <f t="shared" si="5"/>
        <v>9.6000000000000014</v>
      </c>
      <c r="J13" s="12">
        <f t="shared" si="5"/>
        <v>9.6000000000000014</v>
      </c>
      <c r="K13" s="12">
        <f t="shared" si="5"/>
        <v>9.6000000000000014</v>
      </c>
      <c r="L13" s="13" t="s">
        <v>42</v>
      </c>
      <c r="M13" s="1" t="s">
        <v>42</v>
      </c>
    </row>
    <row r="14" spans="1:13" ht="20.25" thickBot="1" x14ac:dyDescent="0.3">
      <c r="A14" s="8" t="s">
        <v>36</v>
      </c>
      <c r="B14" s="3">
        <v>9.5</v>
      </c>
      <c r="C14" s="3">
        <v>9.5</v>
      </c>
      <c r="D14" s="3">
        <v>9.5</v>
      </c>
      <c r="E14" s="8" t="s">
        <v>42</v>
      </c>
      <c r="F14" s="8" t="s">
        <v>42</v>
      </c>
      <c r="H14" s="8" t="s">
        <v>36</v>
      </c>
      <c r="I14" s="3">
        <f t="shared" si="5"/>
        <v>14.25</v>
      </c>
      <c r="J14" s="3">
        <f t="shared" si="5"/>
        <v>14.25</v>
      </c>
      <c r="K14" s="3">
        <f t="shared" si="5"/>
        <v>14.25</v>
      </c>
      <c r="L14" s="8" t="s">
        <v>42</v>
      </c>
      <c r="M14" s="8" t="s">
        <v>42</v>
      </c>
    </row>
    <row r="15" spans="1:13" ht="20.25" thickBot="1" x14ac:dyDescent="0.3">
      <c r="A15" s="10"/>
      <c r="B15" s="1"/>
      <c r="C15" s="1"/>
      <c r="D15" s="1"/>
      <c r="E15" s="1"/>
      <c r="F15" s="1"/>
      <c r="H15" s="10"/>
      <c r="I15" s="1"/>
      <c r="J15" s="1"/>
      <c r="K15" s="1"/>
      <c r="L15" s="1"/>
      <c r="M15" s="1"/>
    </row>
    <row r="16" spans="1:13" ht="20.25" thickBot="1" x14ac:dyDescent="0.3">
      <c r="A16" s="9" t="s">
        <v>43</v>
      </c>
      <c r="B16" s="8" t="s">
        <v>42</v>
      </c>
      <c r="C16" s="8" t="s">
        <v>42</v>
      </c>
      <c r="D16" s="8" t="s">
        <v>42</v>
      </c>
      <c r="E16" s="3">
        <v>7.7</v>
      </c>
      <c r="F16" s="3">
        <v>7.7</v>
      </c>
      <c r="H16" s="9" t="s">
        <v>43</v>
      </c>
      <c r="I16" s="8" t="s">
        <v>42</v>
      </c>
      <c r="J16" s="8" t="s">
        <v>42</v>
      </c>
      <c r="K16" s="8" t="s">
        <v>42</v>
      </c>
      <c r="L16" s="3">
        <f t="shared" ref="L16:M18" si="6">E16*1.5</f>
        <v>11.55</v>
      </c>
      <c r="M16" s="3">
        <f t="shared" si="6"/>
        <v>11.55</v>
      </c>
    </row>
    <row r="17" spans="1:13" ht="20.25" thickBot="1" x14ac:dyDescent="0.3">
      <c r="A17" s="10" t="s">
        <v>44</v>
      </c>
      <c r="B17" s="1" t="s">
        <v>42</v>
      </c>
      <c r="C17" s="1" t="s">
        <v>42</v>
      </c>
      <c r="D17" s="1" t="s">
        <v>42</v>
      </c>
      <c r="E17" s="2">
        <v>8.9</v>
      </c>
      <c r="F17" s="2">
        <v>8.9</v>
      </c>
      <c r="H17" s="10" t="s">
        <v>44</v>
      </c>
      <c r="I17" s="1" t="s">
        <v>42</v>
      </c>
      <c r="J17" s="1" t="s">
        <v>42</v>
      </c>
      <c r="K17" s="1" t="s">
        <v>42</v>
      </c>
      <c r="L17" s="3">
        <f t="shared" si="6"/>
        <v>13.350000000000001</v>
      </c>
      <c r="M17" s="3">
        <f t="shared" si="6"/>
        <v>13.350000000000001</v>
      </c>
    </row>
    <row r="18" spans="1:13" ht="20.25" thickBot="1" x14ac:dyDescent="0.3">
      <c r="A18" s="9" t="s">
        <v>45</v>
      </c>
      <c r="B18" s="8" t="s">
        <v>42</v>
      </c>
      <c r="C18" s="8" t="s">
        <v>42</v>
      </c>
      <c r="D18" s="8" t="s">
        <v>42</v>
      </c>
      <c r="E18" s="3">
        <v>10.199999999999999</v>
      </c>
      <c r="F18" s="3">
        <v>10.199999999999999</v>
      </c>
      <c r="H18" s="9" t="s">
        <v>45</v>
      </c>
      <c r="I18" s="8" t="s">
        <v>42</v>
      </c>
      <c r="J18" s="8" t="s">
        <v>42</v>
      </c>
      <c r="K18" s="8" t="s">
        <v>42</v>
      </c>
      <c r="L18" s="3">
        <f t="shared" si="6"/>
        <v>15.299999999999999</v>
      </c>
      <c r="M18" s="3">
        <f t="shared" si="6"/>
        <v>15.299999999999999</v>
      </c>
    </row>
    <row r="19" spans="1:13" ht="20.25" thickBot="1" x14ac:dyDescent="0.3">
      <c r="A19" s="59"/>
      <c r="B19" s="60"/>
      <c r="C19" s="60"/>
      <c r="D19" s="60"/>
      <c r="E19" s="61"/>
      <c r="F19" s="61"/>
      <c r="H19" s="59"/>
      <c r="I19" s="60"/>
      <c r="J19" s="60"/>
      <c r="K19" s="60"/>
      <c r="L19" s="61"/>
      <c r="M19" s="61"/>
    </row>
    <row r="20" spans="1:13" ht="20.25" thickBot="1" x14ac:dyDescent="0.3">
      <c r="A20" s="85" t="s">
        <v>61</v>
      </c>
      <c r="B20" s="86"/>
      <c r="C20" s="86"/>
      <c r="D20" s="86"/>
      <c r="E20" s="86"/>
      <c r="F20" s="87"/>
      <c r="H20" s="85" t="s">
        <v>62</v>
      </c>
      <c r="I20" s="86"/>
      <c r="J20" s="86"/>
      <c r="K20" s="86"/>
      <c r="L20" s="86"/>
      <c r="M20" s="87"/>
    </row>
    <row r="21" spans="1:13" ht="20.25" thickBot="1" x14ac:dyDescent="0.3">
      <c r="A21" s="5" t="s">
        <v>12</v>
      </c>
      <c r="B21" s="4" t="s">
        <v>17</v>
      </c>
      <c r="C21" s="4" t="s">
        <v>38</v>
      </c>
      <c r="D21" s="4" t="s">
        <v>39</v>
      </c>
      <c r="E21" s="4" t="s">
        <v>40</v>
      </c>
      <c r="F21" s="4" t="s">
        <v>18</v>
      </c>
      <c r="H21" s="5" t="s">
        <v>12</v>
      </c>
      <c r="I21" s="4" t="s">
        <v>17</v>
      </c>
      <c r="J21" s="4" t="s">
        <v>38</v>
      </c>
      <c r="K21" s="4" t="s">
        <v>39</v>
      </c>
      <c r="L21" s="4" t="s">
        <v>40</v>
      </c>
      <c r="M21" s="4" t="s">
        <v>18</v>
      </c>
    </row>
    <row r="22" spans="1:13" ht="20.25" thickBot="1" x14ac:dyDescent="0.3">
      <c r="A22" s="6" t="s">
        <v>41</v>
      </c>
      <c r="B22" s="2">
        <v>50.9</v>
      </c>
      <c r="C22" s="2">
        <v>50.9</v>
      </c>
      <c r="D22" s="2">
        <v>50.9</v>
      </c>
      <c r="E22" s="2">
        <v>101.8</v>
      </c>
      <c r="F22" s="2">
        <v>0</v>
      </c>
      <c r="H22" s="6" t="s">
        <v>41</v>
      </c>
      <c r="I22" s="2">
        <f>B22*1.5</f>
        <v>76.349999999999994</v>
      </c>
      <c r="J22" s="2">
        <f>C22*1.5</f>
        <v>76.349999999999994</v>
      </c>
      <c r="K22" s="2">
        <f>D22*1.5</f>
        <v>76.349999999999994</v>
      </c>
      <c r="L22" s="2">
        <f>E22*1.5</f>
        <v>152.69999999999999</v>
      </c>
      <c r="M22" s="2">
        <f>F22*1.5</f>
        <v>0</v>
      </c>
    </row>
    <row r="23" spans="1:13" ht="19.149999999999999" customHeight="1" thickBot="1" x14ac:dyDescent="0.3">
      <c r="A23" s="7" t="s">
        <v>24</v>
      </c>
      <c r="B23" s="3">
        <v>77.400000000000006</v>
      </c>
      <c r="C23" s="3">
        <v>77.400000000000006</v>
      </c>
      <c r="D23" s="2">
        <v>50.9</v>
      </c>
      <c r="E23" s="3">
        <v>154.80000000000001</v>
      </c>
      <c r="F23" s="3">
        <v>0</v>
      </c>
      <c r="H23" s="7" t="s">
        <v>24</v>
      </c>
      <c r="I23" s="2">
        <f t="shared" ref="I23:I28" si="7">B23*1.5</f>
        <v>116.10000000000001</v>
      </c>
      <c r="J23" s="2">
        <f t="shared" ref="J23:J28" si="8">C23*1.5</f>
        <v>116.10000000000001</v>
      </c>
      <c r="K23" s="2">
        <f t="shared" ref="K23:K28" si="9">D23*1.5</f>
        <v>76.349999999999994</v>
      </c>
      <c r="L23" s="2">
        <f t="shared" ref="L23:L28" si="10">E23*1.5</f>
        <v>232.20000000000002</v>
      </c>
      <c r="M23" s="2">
        <f t="shared" ref="M23:M28" si="11">F23*1.5</f>
        <v>0</v>
      </c>
    </row>
    <row r="24" spans="1:13" ht="20.25" thickBot="1" x14ac:dyDescent="0.3">
      <c r="A24" s="6" t="s">
        <v>25</v>
      </c>
      <c r="B24" s="2">
        <v>104</v>
      </c>
      <c r="C24" s="2">
        <v>104</v>
      </c>
      <c r="D24" s="2">
        <v>50.9</v>
      </c>
      <c r="E24" s="2">
        <v>208</v>
      </c>
      <c r="F24" s="2">
        <v>0</v>
      </c>
      <c r="H24" s="6" t="s">
        <v>25</v>
      </c>
      <c r="I24" s="2">
        <f t="shared" si="7"/>
        <v>156</v>
      </c>
      <c r="J24" s="2">
        <f t="shared" si="8"/>
        <v>156</v>
      </c>
      <c r="K24" s="2">
        <f t="shared" si="9"/>
        <v>76.349999999999994</v>
      </c>
      <c r="L24" s="2">
        <f t="shared" si="10"/>
        <v>312</v>
      </c>
      <c r="M24" s="2">
        <f t="shared" si="11"/>
        <v>0</v>
      </c>
    </row>
    <row r="25" spans="1:13" ht="20.25" thickBot="1" x14ac:dyDescent="0.3">
      <c r="A25" s="7" t="s">
        <v>26</v>
      </c>
      <c r="B25" s="3">
        <v>157.1</v>
      </c>
      <c r="C25" s="3">
        <v>157.1</v>
      </c>
      <c r="D25" s="2">
        <v>50.9</v>
      </c>
      <c r="E25" s="3">
        <v>314.2</v>
      </c>
      <c r="F25" s="3">
        <v>0</v>
      </c>
      <c r="H25" s="7" t="s">
        <v>26</v>
      </c>
      <c r="I25" s="2">
        <f t="shared" si="7"/>
        <v>235.64999999999998</v>
      </c>
      <c r="J25" s="2">
        <f t="shared" si="8"/>
        <v>235.64999999999998</v>
      </c>
      <c r="K25" s="2">
        <f t="shared" si="9"/>
        <v>76.349999999999994</v>
      </c>
      <c r="L25" s="2">
        <f t="shared" si="10"/>
        <v>471.29999999999995</v>
      </c>
      <c r="M25" s="2">
        <f t="shared" si="11"/>
        <v>0</v>
      </c>
    </row>
    <row r="26" spans="1:13" ht="20.25" thickBot="1" x14ac:dyDescent="0.3">
      <c r="A26" s="6" t="s">
        <v>27</v>
      </c>
      <c r="B26" s="2">
        <v>222.4</v>
      </c>
      <c r="C26" s="2">
        <v>222.4</v>
      </c>
      <c r="D26" s="2">
        <v>50.9</v>
      </c>
      <c r="E26" s="2">
        <v>444.8</v>
      </c>
      <c r="F26" s="2">
        <v>0</v>
      </c>
      <c r="H26" s="6" t="s">
        <v>27</v>
      </c>
      <c r="I26" s="2">
        <f t="shared" si="7"/>
        <v>333.6</v>
      </c>
      <c r="J26" s="2">
        <f t="shared" si="8"/>
        <v>333.6</v>
      </c>
      <c r="K26" s="2">
        <f t="shared" si="9"/>
        <v>76.349999999999994</v>
      </c>
      <c r="L26" s="2">
        <f t="shared" si="10"/>
        <v>667.2</v>
      </c>
      <c r="M26" s="2">
        <f t="shared" si="11"/>
        <v>0</v>
      </c>
    </row>
    <row r="27" spans="1:13" ht="20.25" thickBot="1" x14ac:dyDescent="0.3">
      <c r="A27" s="7" t="s">
        <v>28</v>
      </c>
      <c r="B27" s="3">
        <v>325.39999999999998</v>
      </c>
      <c r="C27" s="3">
        <v>325.39999999999998</v>
      </c>
      <c r="D27" s="2">
        <v>50.9</v>
      </c>
      <c r="E27" s="3">
        <v>650.79999999999995</v>
      </c>
      <c r="F27" s="3">
        <v>0</v>
      </c>
      <c r="H27" s="7" t="s">
        <v>28</v>
      </c>
      <c r="I27" s="2">
        <f t="shared" si="7"/>
        <v>488.09999999999997</v>
      </c>
      <c r="J27" s="2">
        <f t="shared" si="8"/>
        <v>488.09999999999997</v>
      </c>
      <c r="K27" s="2">
        <f t="shared" si="9"/>
        <v>76.349999999999994</v>
      </c>
      <c r="L27" s="2">
        <f t="shared" si="10"/>
        <v>976.19999999999993</v>
      </c>
      <c r="M27" s="2">
        <f t="shared" si="11"/>
        <v>0</v>
      </c>
    </row>
    <row r="28" spans="1:13" ht="20.25" thickBot="1" x14ac:dyDescent="0.3">
      <c r="A28" s="6" t="s">
        <v>29</v>
      </c>
      <c r="B28" s="2">
        <v>654</v>
      </c>
      <c r="C28" s="2">
        <v>654</v>
      </c>
      <c r="D28" s="2">
        <v>50.9</v>
      </c>
      <c r="E28" s="2">
        <v>1308</v>
      </c>
      <c r="F28" s="2">
        <v>0</v>
      </c>
      <c r="H28" s="6" t="s">
        <v>29</v>
      </c>
      <c r="I28" s="2">
        <f t="shared" si="7"/>
        <v>981</v>
      </c>
      <c r="J28" s="2">
        <f t="shared" si="8"/>
        <v>981</v>
      </c>
      <c r="K28" s="2">
        <f t="shared" si="9"/>
        <v>76.349999999999994</v>
      </c>
      <c r="L28" s="2">
        <f t="shared" si="10"/>
        <v>1962</v>
      </c>
      <c r="M28" s="2">
        <f t="shared" si="11"/>
        <v>0</v>
      </c>
    </row>
    <row r="29" spans="1:13" ht="15.75" thickBot="1" x14ac:dyDescent="0.3"/>
    <row r="30" spans="1:13" ht="20.25" customHeight="1" thickBot="1" x14ac:dyDescent="0.3">
      <c r="A30" s="85" t="s">
        <v>52</v>
      </c>
      <c r="B30" s="86"/>
      <c r="C30" s="86"/>
      <c r="D30" s="86"/>
      <c r="E30" s="86"/>
      <c r="F30" s="87"/>
      <c r="H30" s="85" t="s">
        <v>55</v>
      </c>
      <c r="I30" s="86"/>
      <c r="J30" s="86"/>
      <c r="K30" s="86"/>
      <c r="L30" s="86"/>
      <c r="M30" s="87"/>
    </row>
    <row r="31" spans="1:13" ht="20.25" thickBot="1" x14ac:dyDescent="0.3">
      <c r="A31" s="6" t="s">
        <v>5</v>
      </c>
      <c r="B31" s="2">
        <v>8</v>
      </c>
      <c r="C31" s="2">
        <v>8</v>
      </c>
      <c r="D31" s="2">
        <v>8</v>
      </c>
      <c r="E31" s="2">
        <v>12</v>
      </c>
      <c r="F31" s="2">
        <v>0</v>
      </c>
      <c r="H31" s="6" t="s">
        <v>5</v>
      </c>
      <c r="I31" s="2">
        <f>B31*1.5</f>
        <v>12</v>
      </c>
      <c r="J31" s="2">
        <f>C31*1.5</f>
        <v>12</v>
      </c>
      <c r="K31" s="2">
        <f>D31*1.5</f>
        <v>12</v>
      </c>
      <c r="L31" s="2">
        <f>E31*1.5</f>
        <v>18</v>
      </c>
      <c r="M31" s="2">
        <f>F31*1.5</f>
        <v>0</v>
      </c>
    </row>
  </sheetData>
  <sheetProtection algorithmName="SHA-512" hashValue="c65tSxTapdWdxiIcbf5+h0yYiiWjENjuVChHIOarVshq2hNh5KesNyDmN/JmflUEiIUIXEx6A1F+k4ZDxBy+nA==" saltValue="2/AHr6ffaxMnAIieL4G6bw==" spinCount="100000" sheet="1" objects="1" scenarios="1"/>
  <mergeCells count="8">
    <mergeCell ref="A30:F30"/>
    <mergeCell ref="H30:M30"/>
    <mergeCell ref="A1:F1"/>
    <mergeCell ref="H1:M1"/>
    <mergeCell ref="A11:F11"/>
    <mergeCell ref="H11:M11"/>
    <mergeCell ref="A20:F20"/>
    <mergeCell ref="H20:M2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852FD-7F05-4B71-8065-76C02B5CEC7C}">
  <sheetPr codeName="Sheet2"/>
  <dimension ref="A1:G8"/>
  <sheetViews>
    <sheetView workbookViewId="0">
      <selection activeCell="F17" sqref="F17"/>
    </sheetView>
  </sheetViews>
  <sheetFormatPr defaultRowHeight="15" x14ac:dyDescent="0.25"/>
  <cols>
    <col min="1" max="1" width="17.140625" bestFit="1" customWidth="1"/>
    <col min="2" max="2" width="13.85546875" bestFit="1" customWidth="1"/>
    <col min="3" max="3" width="16.28515625" bestFit="1" customWidth="1"/>
    <col min="4" max="4" width="16.140625" bestFit="1" customWidth="1"/>
    <col min="5" max="5" width="15.28515625" bestFit="1" customWidth="1"/>
    <col min="6" max="6" width="18.140625" bestFit="1" customWidth="1"/>
    <col min="7" max="7" width="10.7109375" bestFit="1" customWidth="1"/>
  </cols>
  <sheetData>
    <row r="1" spans="1:7" ht="20.25" thickBot="1" x14ac:dyDescent="0.3">
      <c r="A1" s="11" t="s">
        <v>13</v>
      </c>
      <c r="B1" s="11" t="s">
        <v>19</v>
      </c>
      <c r="C1" s="11" t="s">
        <v>12</v>
      </c>
      <c r="D1" s="11" t="s">
        <v>30</v>
      </c>
      <c r="E1" s="11" t="s">
        <v>31</v>
      </c>
      <c r="F1" s="11" t="s">
        <v>32</v>
      </c>
      <c r="G1" s="11" t="s">
        <v>49</v>
      </c>
    </row>
    <row r="2" spans="1:7" ht="20.25" thickBot="1" x14ac:dyDescent="0.3">
      <c r="A2" s="6" t="s">
        <v>17</v>
      </c>
      <c r="B2" s="6" t="s">
        <v>20</v>
      </c>
      <c r="C2" s="6" t="s">
        <v>41</v>
      </c>
      <c r="D2" s="6" t="s">
        <v>22</v>
      </c>
      <c r="E2" s="6" t="s">
        <v>22</v>
      </c>
      <c r="F2" s="6">
        <v>2</v>
      </c>
      <c r="G2" s="6" t="s">
        <v>22</v>
      </c>
    </row>
    <row r="3" spans="1:7" ht="20.25" thickBot="1" x14ac:dyDescent="0.3">
      <c r="A3" s="7" t="s">
        <v>38</v>
      </c>
      <c r="B3" s="7" t="s">
        <v>21</v>
      </c>
      <c r="C3" s="7" t="s">
        <v>24</v>
      </c>
      <c r="D3" s="7" t="s">
        <v>23</v>
      </c>
      <c r="E3" s="7" t="s">
        <v>23</v>
      </c>
      <c r="F3" s="7">
        <v>3</v>
      </c>
      <c r="G3" s="7" t="s">
        <v>23</v>
      </c>
    </row>
    <row r="4" spans="1:7" ht="20.25" thickBot="1" x14ac:dyDescent="0.3">
      <c r="A4" s="6" t="s">
        <v>39</v>
      </c>
      <c r="B4" s="6"/>
      <c r="C4" s="6" t="s">
        <v>25</v>
      </c>
      <c r="D4" s="6"/>
      <c r="E4" s="6"/>
      <c r="F4" s="6">
        <v>4</v>
      </c>
      <c r="G4" s="6"/>
    </row>
    <row r="5" spans="1:7" ht="20.25" thickBot="1" x14ac:dyDescent="0.3">
      <c r="A5" s="7" t="s">
        <v>40</v>
      </c>
      <c r="B5" s="7"/>
      <c r="C5" s="7" t="s">
        <v>26</v>
      </c>
      <c r="D5" s="7"/>
      <c r="E5" s="7"/>
      <c r="F5" s="7">
        <v>5</v>
      </c>
      <c r="G5" s="7"/>
    </row>
    <row r="6" spans="1:7" ht="20.25" thickBot="1" x14ac:dyDescent="0.3">
      <c r="A6" s="6" t="s">
        <v>18</v>
      </c>
      <c r="B6" s="6"/>
      <c r="C6" s="6" t="s">
        <v>27</v>
      </c>
      <c r="D6" s="6"/>
      <c r="E6" s="6"/>
      <c r="F6" s="6">
        <v>6</v>
      </c>
      <c r="G6" s="6"/>
    </row>
    <row r="7" spans="1:7" ht="20.25" thickBot="1" x14ac:dyDescent="0.3">
      <c r="A7" s="7"/>
      <c r="B7" s="7"/>
      <c r="C7" s="7" t="s">
        <v>28</v>
      </c>
      <c r="D7" s="7"/>
      <c r="E7" s="7"/>
      <c r="F7" s="7"/>
      <c r="G7" s="7"/>
    </row>
    <row r="8" spans="1:7" ht="20.25" thickBot="1" x14ac:dyDescent="0.3">
      <c r="A8" s="6"/>
      <c r="B8" s="6"/>
      <c r="C8" s="6" t="s">
        <v>29</v>
      </c>
      <c r="D8" s="6"/>
      <c r="E8" s="6"/>
      <c r="F8" s="6"/>
      <c r="G8" s="6"/>
    </row>
  </sheetData>
  <sheetProtection algorithmName="SHA-512" hashValue="kD6P2wdT/TWGaFyIvVmQ9NFTKUH5K14jQFpaRTy6TV6UkIvWDZFSrUsMgfPxJGv4od2CLBwjyBH2zLTLkxsQrQ==" saltValue="DfPZmA+tFSXjsn/Ja0293A==" spinCount="100000"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8360d07-cd45-4c5f-a50b-eb54cb0f5b4f">
      <Terms xmlns="http://schemas.microsoft.com/office/infopath/2007/PartnerControls"/>
    </lcf76f155ced4ddcb4097134ff3c332f>
    <TaxCatchAll xmlns="99a92e96-d9d6-49d4-8615-47fd1d3c6f82" xsi:nil="true"/>
    <_ApprovalAssignedTo xmlns="e8360d07-cd45-4c5f-a50b-eb54cb0f5b4f">
      <UserInfo>
        <DisplayName/>
        <AccountId xsi:nil="true"/>
        <AccountType/>
      </UserInfo>
    </_ApprovalAssignedTo>
    <_ApprovalSentBy xmlns="e8360d07-cd45-4c5f-a50b-eb54cb0f5b4f">
      <UserInfo>
        <DisplayName/>
        <AccountId xsi:nil="true"/>
        <AccountType/>
      </UserInfo>
    </_ApprovalSentBy>
    <_ApprovalStatus xmlns="e8360d07-cd45-4c5f-a50b-eb54cb0f5b4f">0</_ApprovalStatus>
    <_ApprovalRespondedBy xmlns="e8360d07-cd45-4c5f-a50b-eb54cb0f5b4f">
      <UserInfo>
        <DisplayName/>
        <AccountId xsi:nil="true"/>
        <AccountType/>
      </UserInfo>
    </_ApprovalRespondedB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816C03EF7EE0F4E830A8DDBDB749044" ma:contentTypeVersion="20" ma:contentTypeDescription="Create a new document." ma:contentTypeScope="" ma:versionID="46fdd26be8f2a0c5a663e2e9084648c7">
  <xsd:schema xmlns:xsd="http://www.w3.org/2001/XMLSchema" xmlns:xs="http://www.w3.org/2001/XMLSchema" xmlns:p="http://schemas.microsoft.com/office/2006/metadata/properties" xmlns:ns2="e8360d07-cd45-4c5f-a50b-eb54cb0f5b4f" xmlns:ns3="99a92e96-d9d6-49d4-8615-47fd1d3c6f82" targetNamespace="http://schemas.microsoft.com/office/2006/metadata/properties" ma:root="true" ma:fieldsID="bb9a4e3370c4c89bf8b451f6e913f174" ns2:_="" ns3:_="">
    <xsd:import namespace="e8360d07-cd45-4c5f-a50b-eb54cb0f5b4f"/>
    <xsd:import namespace="99a92e96-d9d6-49d4-8615-47fd1d3c6f82"/>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ObjectDetectorVersions" minOccurs="0"/>
                <xsd:element ref="ns2:MediaLengthInSeconds" minOccurs="0"/>
                <xsd:element ref="ns2:MediaServiceSearchProperties" minOccurs="0"/>
                <xsd:element ref="ns2:_ApprovalAssignedTo" minOccurs="0"/>
                <xsd:element ref="ns2:_ApprovalRespondedBy" minOccurs="0"/>
                <xsd:element ref="ns2:_ApprovalSentBy" minOccurs="0"/>
                <xsd:element ref="ns2:_Approval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360d07-cd45-4c5f-a50b-eb54cb0f5b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37f7e815-4ca6-48f0-8a62-9128197fce05"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ApprovalAssignedTo" ma:index="23" nillable="true" ma:displayName="Approvers"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24" nillable="true" ma:displayName="Responses"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25" nillable="true" ma:displayName="Approval Creator"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26" nillable="true" ma:displayName="Approval status" ma:internalName="_ApprovalStatus" ma:readOnly="true">
      <xsd:simpleType>
        <xsd:restriction base="dms:Unknow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9a92e96-d9d6-49d4-8615-47fd1d3c6f82"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9164e95-df07-4671-a192-c8d1aa461ccf}" ma:internalName="TaxCatchAll" ma:showField="CatchAllData" ma:web="99a92e96-d9d6-49d4-8615-47fd1d3c6f82">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B1EB39-6FD0-4A46-8175-C6ABBADAFB15}">
  <ds:schemaRefs>
    <ds:schemaRef ds:uri="http://schemas.microsoft.com/office/2006/metadata/properties"/>
    <ds:schemaRef ds:uri="http://schemas.microsoft.com/office/infopath/2007/PartnerControls"/>
    <ds:schemaRef ds:uri="e8360d07-cd45-4c5f-a50b-eb54cb0f5b4f"/>
    <ds:schemaRef ds:uri="99a92e96-d9d6-49d4-8615-47fd1d3c6f82"/>
  </ds:schemaRefs>
</ds:datastoreItem>
</file>

<file path=customXml/itemProps2.xml><?xml version="1.0" encoding="utf-8"?>
<ds:datastoreItem xmlns:ds="http://schemas.openxmlformats.org/officeDocument/2006/customXml" ds:itemID="{A3D94100-6B4C-4B0B-A213-0F33DDC43D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360d07-cd45-4c5f-a50b-eb54cb0f5b4f"/>
    <ds:schemaRef ds:uri="99a92e96-d9d6-49d4-8615-47fd1d3c6f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CE8F469-7EFE-4886-9CF0-9939DA35EE4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 Calculator &amp; Breakdown</vt:lpstr>
      <vt:lpstr>Code Sheet - Rates</vt:lpstr>
      <vt:lpstr>Code Sheet - Customer Questions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Thomson</dc:creator>
  <cp:lastModifiedBy>Misty Simons</cp:lastModifiedBy>
  <cp:lastPrinted>2023-12-14T19:29:26Z</cp:lastPrinted>
  <dcterms:created xsi:type="dcterms:W3CDTF">2022-12-30T16:44:44Z</dcterms:created>
  <dcterms:modified xsi:type="dcterms:W3CDTF">2026-01-13T17:40:47Z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0x0101001816C03EF7EE0F4E830A8DDBDB749044</vt:lpwstr>
  </property>
  <property fmtid="{D5CDD505-2E9C-101B-9397-08002B2CF9AE}" pid="3" name="MediaServiceImageTags">
    <vt:lpwstr/>
  </property>
</Properties>
</file>